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800" windowHeight="13200" activeTab="4"/>
  </bookViews>
  <sheets>
    <sheet name="人员工资数据表 " sheetId="5" r:id="rId1"/>
    <sheet name="村、居委会、社区、人口数据表" sheetId="2" state="hidden" r:id="rId2"/>
    <sheet name="人员基本数据表" sheetId="3" r:id="rId3"/>
    <sheet name="基础数据计算表" sheetId="6" r:id="rId4"/>
    <sheet name="体制经费测算" sheetId="1" r:id="rId5"/>
  </sheets>
  <definedNames>
    <definedName name="_xlnm.Print_Area" localSheetId="1">村、居委会、社区、人口数据表!$A$1:$G$29</definedName>
    <definedName name="_xlnm.Print_Area" localSheetId="3">基础数据计算表!#REF!</definedName>
    <definedName name="_xlnm.Print_Area" localSheetId="2">人员基本数据表!#REF!</definedName>
    <definedName name="_xlnm.Print_Area" localSheetId="4">体制经费测算!$A$2:$AG$10</definedName>
  </definedNames>
  <calcPr calcId="124519" iterate="1"/>
</workbook>
</file>

<file path=xl/calcChain.xml><?xml version="1.0" encoding="utf-8"?>
<calcChain xmlns="http://schemas.openxmlformats.org/spreadsheetml/2006/main">
  <c r="W9" i="5"/>
  <c r="D8"/>
  <c r="E8"/>
  <c r="G8"/>
  <c r="H8"/>
  <c r="I8"/>
  <c r="C8"/>
  <c r="F8"/>
  <c r="F9" s="1"/>
  <c r="J8"/>
  <c r="R8"/>
  <c r="R9" s="1"/>
  <c r="AA8"/>
  <c r="C8" i="6" s="1"/>
  <c r="AA9" i="1" s="1"/>
  <c r="AB8" i="5"/>
  <c r="AB9" s="1"/>
  <c r="AC8"/>
  <c r="AC9" s="1"/>
  <c r="AD8"/>
  <c r="AD9" s="1"/>
  <c r="AE8"/>
  <c r="AF8"/>
  <c r="AG8"/>
  <c r="AG9" s="1"/>
  <c r="AH8"/>
  <c r="AH9" s="1"/>
  <c r="AP8"/>
  <c r="AX8"/>
  <c r="BF8"/>
  <c r="BF9" s="1"/>
  <c r="V9" i="6" s="1"/>
  <c r="BM8" i="5"/>
  <c r="BM9" s="1"/>
  <c r="BU8"/>
  <c r="CE8"/>
  <c r="CE9" s="1"/>
  <c r="H9"/>
  <c r="K9"/>
  <c r="L9"/>
  <c r="M9"/>
  <c r="N9"/>
  <c r="O9"/>
  <c r="P9"/>
  <c r="Q9"/>
  <c r="S9"/>
  <c r="T9"/>
  <c r="U9"/>
  <c r="V9"/>
  <c r="X9"/>
  <c r="Y9"/>
  <c r="AI9"/>
  <c r="AJ9"/>
  <c r="AK9"/>
  <c r="AL9"/>
  <c r="AM9"/>
  <c r="AN9"/>
  <c r="AO9"/>
  <c r="AQ9"/>
  <c r="AR9"/>
  <c r="AS9"/>
  <c r="AT9"/>
  <c r="AU9"/>
  <c r="AV9"/>
  <c r="AW9"/>
  <c r="AY9"/>
  <c r="AZ9"/>
  <c r="BA9"/>
  <c r="BB9"/>
  <c r="BC9"/>
  <c r="BD9"/>
  <c r="BE9"/>
  <c r="BG9"/>
  <c r="BH9"/>
  <c r="BI9"/>
  <c r="BJ9"/>
  <c r="BK9"/>
  <c r="BL9"/>
  <c r="BN9"/>
  <c r="BO9"/>
  <c r="BP9"/>
  <c r="BQ9"/>
  <c r="BR9"/>
  <c r="BS9"/>
  <c r="BT9"/>
  <c r="M9" i="6" s="1"/>
  <c r="BV9" i="5"/>
  <c r="BW9"/>
  <c r="BX9"/>
  <c r="BY9"/>
  <c r="BZ9"/>
  <c r="CA9"/>
  <c r="CB9"/>
  <c r="N9" i="6" s="1"/>
  <c r="CC9" i="5"/>
  <c r="CD9"/>
  <c r="CF9"/>
  <c r="CG9"/>
  <c r="C7" i="2"/>
  <c r="H7"/>
  <c r="I7"/>
  <c r="J7"/>
  <c r="K7"/>
  <c r="L7"/>
  <c r="M7"/>
  <c r="N7"/>
  <c r="O7"/>
  <c r="C8"/>
  <c r="H8"/>
  <c r="C9"/>
  <c r="H9"/>
  <c r="C10"/>
  <c r="H10"/>
  <c r="I10"/>
  <c r="J10"/>
  <c r="K10"/>
  <c r="L10"/>
  <c r="M10"/>
  <c r="N10"/>
  <c r="O10"/>
  <c r="C11"/>
  <c r="H11"/>
  <c r="I11"/>
  <c r="J11"/>
  <c r="K11"/>
  <c r="L11"/>
  <c r="M11"/>
  <c r="N11"/>
  <c r="O11" s="1"/>
  <c r="C12"/>
  <c r="H12"/>
  <c r="C13"/>
  <c r="H13"/>
  <c r="C14"/>
  <c r="H14"/>
  <c r="C15"/>
  <c r="H15"/>
  <c r="C16"/>
  <c r="H16"/>
  <c r="C17"/>
  <c r="H17"/>
  <c r="I17"/>
  <c r="J17"/>
  <c r="K17"/>
  <c r="L17"/>
  <c r="M17"/>
  <c r="N17"/>
  <c r="O17"/>
  <c r="C18"/>
  <c r="H18"/>
  <c r="I18"/>
  <c r="J18"/>
  <c r="K18"/>
  <c r="L18"/>
  <c r="M18"/>
  <c r="N18"/>
  <c r="O18" s="1"/>
  <c r="C19"/>
  <c r="H19"/>
  <c r="C20"/>
  <c r="H20"/>
  <c r="C21"/>
  <c r="H21"/>
  <c r="C22"/>
  <c r="H22"/>
  <c r="C23"/>
  <c r="H23"/>
  <c r="C24"/>
  <c r="H24"/>
  <c r="I24"/>
  <c r="J24"/>
  <c r="K24"/>
  <c r="L24"/>
  <c r="M24"/>
  <c r="N24"/>
  <c r="O24"/>
  <c r="C25"/>
  <c r="H25"/>
  <c r="I25"/>
  <c r="J25"/>
  <c r="K25"/>
  <c r="L25"/>
  <c r="M25"/>
  <c r="N25"/>
  <c r="O25" s="1"/>
  <c r="C26"/>
  <c r="H26"/>
  <c r="C27"/>
  <c r="H27"/>
  <c r="I27"/>
  <c r="J27"/>
  <c r="K27"/>
  <c r="L27"/>
  <c r="M27"/>
  <c r="N27"/>
  <c r="O27"/>
  <c r="C28"/>
  <c r="H28"/>
  <c r="D29"/>
  <c r="C29" s="1"/>
  <c r="E29"/>
  <c r="F29"/>
  <c r="G29"/>
  <c r="I43"/>
  <c r="D8" i="3"/>
  <c r="E8"/>
  <c r="W8"/>
  <c r="AD8"/>
  <c r="AD9" s="1"/>
  <c r="AR8"/>
  <c r="AV8"/>
  <c r="B9"/>
  <c r="C9"/>
  <c r="D9"/>
  <c r="F9"/>
  <c r="G9"/>
  <c r="H9"/>
  <c r="I9"/>
  <c r="J9"/>
  <c r="K9"/>
  <c r="L9"/>
  <c r="M9"/>
  <c r="N9"/>
  <c r="O9"/>
  <c r="P9"/>
  <c r="Q9"/>
  <c r="T9"/>
  <c r="U9"/>
  <c r="X9"/>
  <c r="Y9"/>
  <c r="Z9"/>
  <c r="AA9"/>
  <c r="AB9"/>
  <c r="AC9"/>
  <c r="AE9"/>
  <c r="AF9"/>
  <c r="AG9"/>
  <c r="AH9"/>
  <c r="AI9"/>
  <c r="AJ9"/>
  <c r="AK9"/>
  <c r="AL9"/>
  <c r="AM9"/>
  <c r="AN9"/>
  <c r="AO9"/>
  <c r="W9" s="1"/>
  <c r="AP9"/>
  <c r="AQ9"/>
  <c r="AR9"/>
  <c r="AS9"/>
  <c r="AT9"/>
  <c r="AU9"/>
  <c r="AW9"/>
  <c r="AY9"/>
  <c r="AZ9"/>
  <c r="E8" i="6"/>
  <c r="F8"/>
  <c r="G8"/>
  <c r="Q9" i="1" s="1"/>
  <c r="M8" i="6"/>
  <c r="N8"/>
  <c r="V8"/>
  <c r="W8"/>
  <c r="AG9" i="1" s="1"/>
  <c r="F9"/>
  <c r="G9"/>
  <c r="H9"/>
  <c r="I9"/>
  <c r="J9"/>
  <c r="J10" s="1"/>
  <c r="M9"/>
  <c r="N9"/>
  <c r="O9"/>
  <c r="P9"/>
  <c r="AF9"/>
  <c r="V8" i="3" l="1"/>
  <c r="V9"/>
  <c r="E12"/>
  <c r="H8" i="6"/>
  <c r="AB9" i="1" s="1"/>
  <c r="AB10" s="1"/>
  <c r="G9" i="6"/>
  <c r="F9"/>
  <c r="J9" i="5"/>
  <c r="E9" i="3"/>
  <c r="W9" i="6"/>
  <c r="N10" i="1"/>
  <c r="L8" i="6"/>
  <c r="P8" s="1"/>
  <c r="T9" i="1" s="1"/>
  <c r="I8" i="6"/>
  <c r="R9" i="1" s="1"/>
  <c r="Z8" i="5"/>
  <c r="AP9"/>
  <c r="AF9"/>
  <c r="I9" i="6" s="1"/>
  <c r="AE9" i="5"/>
  <c r="AX9"/>
  <c r="AA9"/>
  <c r="I9"/>
  <c r="L9" i="6" s="1"/>
  <c r="C9" i="5"/>
  <c r="BU9"/>
  <c r="I10" i="1"/>
  <c r="D9" i="5"/>
  <c r="E9" i="6"/>
  <c r="M10" i="1"/>
  <c r="G9" i="5"/>
  <c r="F10" i="1"/>
  <c r="G10"/>
  <c r="P10"/>
  <c r="AA10"/>
  <c r="E9" i="5"/>
  <c r="L9" i="1"/>
  <c r="K9" s="1"/>
  <c r="D8" i="6"/>
  <c r="AV9" i="3"/>
  <c r="B8" i="5"/>
  <c r="E9" i="1"/>
  <c r="AE9"/>
  <c r="AG10"/>
  <c r="Q10"/>
  <c r="O10"/>
  <c r="AF10"/>
  <c r="H10"/>
  <c r="AX9" i="3"/>
  <c r="J8" i="6" l="1"/>
  <c r="AD9" i="1" s="1"/>
  <c r="AD10" s="1"/>
  <c r="K8" i="6"/>
  <c r="AC9" i="1" s="1"/>
  <c r="Z9" s="1"/>
  <c r="S8" i="6"/>
  <c r="X9" i="1" s="1"/>
  <c r="R8" i="6"/>
  <c r="V9" i="1" s="1"/>
  <c r="Q8" i="6"/>
  <c r="U9" i="1" s="1"/>
  <c r="U10" s="1"/>
  <c r="C9" i="6"/>
  <c r="R10" i="1"/>
  <c r="H9" i="6"/>
  <c r="X10" i="1"/>
  <c r="B9" i="5"/>
  <c r="T8" i="6"/>
  <c r="W9" i="1" s="1"/>
  <c r="W10" s="1"/>
  <c r="Z9" i="5"/>
  <c r="D9" i="6"/>
  <c r="K9" s="1"/>
  <c r="Q9"/>
  <c r="R9"/>
  <c r="T9"/>
  <c r="P9"/>
  <c r="L10" i="1"/>
  <c r="E10"/>
  <c r="S9" i="6"/>
  <c r="K10" i="1"/>
  <c r="AE10"/>
  <c r="U8" i="6"/>
  <c r="Y9" i="1" s="1"/>
  <c r="D9" l="1"/>
  <c r="S9"/>
  <c r="S10" s="1"/>
  <c r="Y10"/>
  <c r="O8" i="6"/>
  <c r="J9"/>
  <c r="U9"/>
  <c r="O9"/>
  <c r="AC10" i="1"/>
  <c r="Z10"/>
  <c r="V10"/>
  <c r="T10"/>
  <c r="C9" l="1"/>
  <c r="D10" l="1"/>
  <c r="C10"/>
</calcChain>
</file>

<file path=xl/comments1.xml><?xml version="1.0" encoding="utf-8"?>
<comments xmlns="http://schemas.openxmlformats.org/spreadsheetml/2006/main">
  <authors>
    <author>Administrator</author>
  </authors>
  <commentList>
    <comment ref="BM5" authorId="0">
      <text>
        <r>
          <rPr>
            <sz val="9"/>
            <rFont val="宋体"/>
            <family val="3"/>
            <charset val="134"/>
          </rPr>
          <t xml:space="preserve">
按实行绩效管理的事业人员所有经费</t>
        </r>
        <r>
          <rPr>
            <sz val="9"/>
            <rFont val="Tahoma"/>
            <family val="2"/>
            <charset val="134"/>
          </rPr>
          <t>80%</t>
        </r>
        <r>
          <rPr>
            <sz val="9"/>
            <rFont val="宋体"/>
            <family val="3"/>
            <charset val="134"/>
          </rPr>
          <t>的标准核定</t>
        </r>
      </text>
    </comment>
    <comment ref="BU5" authorId="0">
      <text>
        <r>
          <rPr>
            <b/>
            <sz val="9"/>
            <rFont val="Tahoma"/>
            <family val="2"/>
            <charset val="134"/>
          </rPr>
          <t>Administrator:</t>
        </r>
        <r>
          <rPr>
            <sz val="9"/>
            <rFont val="Tahoma"/>
            <family val="2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按实行绩效管理的事业人员所有经费</t>
        </r>
        <r>
          <rPr>
            <sz val="9"/>
            <rFont val="Tahoma"/>
            <family val="2"/>
            <charset val="134"/>
          </rPr>
          <t>60%</t>
        </r>
        <r>
          <rPr>
            <sz val="9"/>
            <rFont val="宋体"/>
            <family val="3"/>
            <charset val="134"/>
          </rPr>
          <t>的标准核定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F7" authorId="0">
      <text>
        <r>
          <rPr>
            <b/>
            <sz val="9"/>
            <rFont val="Tahoma"/>
            <family val="2"/>
            <charset val="134"/>
          </rPr>
          <t>Administrator:</t>
        </r>
        <r>
          <rPr>
            <sz val="9"/>
            <rFont val="Tahoma"/>
            <family val="2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行政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>财政所（参公）</t>
        </r>
      </text>
    </comment>
    <comment ref="G7" authorId="0">
      <text>
        <r>
          <rPr>
            <b/>
            <sz val="9"/>
            <rFont val="Tahoma"/>
            <family val="2"/>
            <charset val="134"/>
          </rPr>
          <t>Administrator:</t>
        </r>
        <r>
          <rPr>
            <sz val="9"/>
            <rFont val="Tahoma"/>
            <family val="2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公益性岗位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>财政所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 xml:space="preserve">退伍
</t>
        </r>
      </text>
    </comment>
    <comment ref="L7" authorId="0">
      <text>
        <r>
          <rPr>
            <b/>
            <sz val="9"/>
            <rFont val="Tahoma"/>
            <family val="2"/>
            <charset val="134"/>
          </rPr>
          <t>Administrator:</t>
        </r>
        <r>
          <rPr>
            <sz val="9"/>
            <rFont val="Tahoma"/>
            <family val="2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行政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>财政所（参公）</t>
        </r>
      </text>
    </comment>
    <comment ref="M7" authorId="0">
      <text>
        <r>
          <rPr>
            <b/>
            <sz val="9"/>
            <rFont val="Tahoma"/>
            <family val="2"/>
            <charset val="134"/>
          </rPr>
          <t>Administrator:</t>
        </r>
        <r>
          <rPr>
            <sz val="9"/>
            <rFont val="Tahoma"/>
            <family val="2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公益性岗位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>财政所</t>
        </r>
        <r>
          <rPr>
            <sz val="9"/>
            <rFont val="Tahoma"/>
            <family val="2"/>
            <charset val="134"/>
          </rPr>
          <t>+</t>
        </r>
        <r>
          <rPr>
            <sz val="9"/>
            <rFont val="宋体"/>
            <family val="3"/>
            <charset val="134"/>
          </rPr>
          <t xml:space="preserve">退伍
</t>
        </r>
      </text>
    </comment>
  </commentList>
</comments>
</file>

<file path=xl/sharedStrings.xml><?xml version="1.0" encoding="utf-8"?>
<sst xmlns="http://schemas.openxmlformats.org/spreadsheetml/2006/main" count="298" uniqueCount="172">
  <si>
    <t>表一</t>
  </si>
  <si>
    <t>湘乡市乡镇办2021年财政体制人员工资情况汇总表</t>
  </si>
  <si>
    <t>编制单位：湘乡市财政局预算股</t>
  </si>
  <si>
    <t>单位</t>
  </si>
  <si>
    <t>行政人员（包含财政所）</t>
  </si>
  <si>
    <t>行政人员</t>
  </si>
  <si>
    <t>财政所人员</t>
  </si>
  <si>
    <t>事业人员</t>
  </si>
  <si>
    <t>公益性岗位人员</t>
  </si>
  <si>
    <t>非公益岗位事业人员（原全额编制人员）</t>
  </si>
  <si>
    <r>
      <t>2</t>
    </r>
    <r>
      <rPr>
        <sz val="12"/>
        <color indexed="8"/>
        <rFont val="宋体"/>
        <family val="3"/>
        <charset val="134"/>
      </rPr>
      <t>013年以来安排的退伍安置人员</t>
    </r>
  </si>
  <si>
    <t>离休人员</t>
  </si>
  <si>
    <t>非公益岗位事业人员（原差额编制人员）</t>
  </si>
  <si>
    <t>遗属人员</t>
  </si>
  <si>
    <t>精简下放人员、工伤人员等</t>
  </si>
  <si>
    <t>离退休人数合计</t>
  </si>
  <si>
    <t>合 计</t>
  </si>
  <si>
    <t>人数小计</t>
  </si>
  <si>
    <t>月基本工资小计</t>
  </si>
  <si>
    <t>月津补贴小计</t>
  </si>
  <si>
    <t>乡镇工作补贴小计</t>
  </si>
  <si>
    <t>公车补贴小计</t>
  </si>
  <si>
    <t>其他工资福利小计</t>
  </si>
  <si>
    <t>月缴费基数小计</t>
  </si>
  <si>
    <t>合计</t>
  </si>
  <si>
    <t>人数</t>
  </si>
  <si>
    <t>月基本工资</t>
  </si>
  <si>
    <t>月津贴</t>
  </si>
  <si>
    <t>乡镇工作补贴</t>
  </si>
  <si>
    <t>公车补贴</t>
  </si>
  <si>
    <t>月缴费基数</t>
  </si>
  <si>
    <t>月基本工资合计</t>
  </si>
  <si>
    <t>月津补贴合计</t>
  </si>
  <si>
    <t>地区津补贴</t>
  </si>
  <si>
    <t>护理费</t>
  </si>
  <si>
    <t>遗孀生活补助</t>
  </si>
  <si>
    <t>解放战争时期的革命人员生活补助</t>
  </si>
  <si>
    <t>交通补助</t>
  </si>
  <si>
    <t>改革前林业人员</t>
  </si>
  <si>
    <t>其他差额编制人员</t>
  </si>
  <si>
    <t>月补助</t>
  </si>
  <si>
    <t>小计</t>
  </si>
  <si>
    <t>精简下放人员</t>
  </si>
  <si>
    <t>工伤人员、地下党员</t>
  </si>
  <si>
    <t>月津补贴</t>
  </si>
  <si>
    <t>其他工资福利</t>
  </si>
  <si>
    <t>新湘路</t>
  </si>
  <si>
    <t>注：1、按2020年10月31日数据编制；</t>
  </si>
  <si>
    <t>2、住房公积金：按工资总额加年初预算年初绩效考核奖金安排数的12%编制；</t>
  </si>
  <si>
    <r>
      <t>3、年度绩效考核奖金：纳入</t>
    </r>
    <r>
      <rPr>
        <sz val="12"/>
        <color indexed="8"/>
        <rFont val="宋体"/>
        <family val="3"/>
        <charset val="134"/>
      </rPr>
      <t>2020年度绩效考核范围的单位，按照2020年10月底编制内的在职人数12000元/人；</t>
    </r>
  </si>
  <si>
    <r>
      <t>4、离退休干部春节慰问费：根据人力资源和社会保障局和离退休干部服务中心核定的人数按</t>
    </r>
    <r>
      <rPr>
        <sz val="12"/>
        <color indexed="8"/>
        <rFont val="宋体"/>
        <family val="3"/>
        <charset val="134"/>
      </rPr>
      <t>800元/人.年安排；</t>
    </r>
  </si>
  <si>
    <t>5、除住房公积金、年度绩效考核奖金、离退休干部春节慰问费外，其余核算标准参照前年；</t>
  </si>
  <si>
    <t>6、请于2020年11月16日报送电子档、纸质表（盖单位公章）及相关附件（盖单位公章）至预算股王锋处。</t>
  </si>
  <si>
    <t>湘乡市乡镇办第六轮财政体制数据</t>
  </si>
  <si>
    <t>编制：湘乡市财政局预算股</t>
  </si>
  <si>
    <t>基础数据</t>
  </si>
  <si>
    <t>村、居委会、社区合计</t>
  </si>
  <si>
    <t>村数（个）</t>
  </si>
  <si>
    <t>居委会（个）</t>
  </si>
  <si>
    <t>社区（个）</t>
  </si>
  <si>
    <t>辖区人口数（个）</t>
  </si>
  <si>
    <t>龙洞</t>
  </si>
  <si>
    <t>东郊</t>
  </si>
  <si>
    <t>梅桥</t>
  </si>
  <si>
    <t>山枣</t>
  </si>
  <si>
    <t>栗山</t>
  </si>
  <si>
    <t>中沙</t>
  </si>
  <si>
    <t>潭市</t>
  </si>
  <si>
    <t>虞唐</t>
  </si>
  <si>
    <t>毛田</t>
  </si>
  <si>
    <t>棋梓</t>
  </si>
  <si>
    <t>壶天</t>
  </si>
  <si>
    <t>翻江</t>
  </si>
  <si>
    <t>金薮</t>
  </si>
  <si>
    <t>金石</t>
  </si>
  <si>
    <t>白田</t>
  </si>
  <si>
    <t>月山</t>
  </si>
  <si>
    <t>育段</t>
  </si>
  <si>
    <t>泉塘</t>
  </si>
  <si>
    <t>东山</t>
  </si>
  <si>
    <t>望办</t>
  </si>
  <si>
    <t>新办</t>
  </si>
  <si>
    <t>昆办</t>
  </si>
  <si>
    <t>注：按民政局、公安局提供的2012年12月底止数据编制</t>
  </si>
  <si>
    <t>表三</t>
  </si>
  <si>
    <r>
      <t>湘乡市乡镇办2</t>
    </r>
    <r>
      <rPr>
        <b/>
        <sz val="20"/>
        <rFont val="宋体"/>
        <family val="3"/>
        <charset val="134"/>
      </rPr>
      <t>021年</t>
    </r>
    <r>
      <rPr>
        <b/>
        <sz val="20"/>
        <rFont val="宋体"/>
        <family val="3"/>
        <charset val="134"/>
      </rPr>
      <t>财政体制人员情况表</t>
    </r>
  </si>
  <si>
    <t>公益性事业机构人员</t>
  </si>
  <si>
    <t>非公益岗位事业人员</t>
  </si>
  <si>
    <r>
      <t>2</t>
    </r>
    <r>
      <rPr>
        <sz val="12"/>
        <rFont val="宋体"/>
        <family val="3"/>
        <charset val="134"/>
      </rPr>
      <t>013年以后分配的退伍军人</t>
    </r>
  </si>
  <si>
    <t>提前离岗人员</t>
  </si>
  <si>
    <t>其他人员</t>
  </si>
  <si>
    <t>编制数</t>
  </si>
  <si>
    <t>实际数</t>
  </si>
  <si>
    <t>水利站</t>
  </si>
  <si>
    <t>林业站</t>
  </si>
  <si>
    <t>文化广电体育站</t>
  </si>
  <si>
    <t>综合行政执法大队</t>
  </si>
  <si>
    <t>综合服务中心</t>
  </si>
  <si>
    <t>退役军人服务站</t>
  </si>
  <si>
    <t>村级代理中心</t>
  </si>
  <si>
    <t>自收自支（合计）</t>
  </si>
  <si>
    <t>原经管站</t>
  </si>
  <si>
    <t>原计育办</t>
  </si>
  <si>
    <t>原文化站</t>
  </si>
  <si>
    <t>原广播站</t>
  </si>
  <si>
    <t>原劳动管理站</t>
  </si>
  <si>
    <t>原合医站</t>
  </si>
  <si>
    <t>原林业站</t>
  </si>
  <si>
    <t>原水管站</t>
  </si>
  <si>
    <t>原农机站</t>
  </si>
  <si>
    <t>原畜牧站</t>
  </si>
  <si>
    <t>原农技站</t>
  </si>
  <si>
    <t>原安监站</t>
  </si>
  <si>
    <t>原城管站</t>
  </si>
  <si>
    <t>原规划站</t>
  </si>
  <si>
    <t>原环保站</t>
  </si>
  <si>
    <t>原企业办</t>
  </si>
  <si>
    <t>分配的全额站办所</t>
  </si>
  <si>
    <t>分配的差额站办所</t>
  </si>
  <si>
    <t>原全额单位人员</t>
  </si>
  <si>
    <t>原差额单位人员</t>
  </si>
  <si>
    <t>地下党员</t>
  </si>
  <si>
    <t>精简人员</t>
  </si>
  <si>
    <t>工伤</t>
  </si>
  <si>
    <t>改革后人员</t>
  </si>
  <si>
    <t>2012年新进人员</t>
  </si>
  <si>
    <t>表四</t>
  </si>
  <si>
    <r>
      <t>湘乡市乡镇办2</t>
    </r>
    <r>
      <rPr>
        <b/>
        <sz val="20"/>
        <rFont val="宋体"/>
        <family val="3"/>
        <charset val="134"/>
      </rPr>
      <t>021年</t>
    </r>
    <r>
      <rPr>
        <b/>
        <sz val="20"/>
        <rFont val="宋体"/>
        <family val="3"/>
        <charset val="134"/>
      </rPr>
      <t>财政体基础数据计算表</t>
    </r>
  </si>
  <si>
    <t>单位金额：元</t>
  </si>
  <si>
    <t>基本公用经费</t>
  </si>
  <si>
    <t xml:space="preserve"> 年在职工资总额</t>
  </si>
  <si>
    <t>其他工资福利支出</t>
  </si>
  <si>
    <t>2.5%的福利费</t>
  </si>
  <si>
    <t>2%的工会经费</t>
  </si>
  <si>
    <t>年缴费基数总额</t>
  </si>
  <si>
    <t>社会保障</t>
  </si>
  <si>
    <t>住房公积金</t>
  </si>
  <si>
    <t>离休人员生活补贴</t>
  </si>
  <si>
    <t>遗属、落政、编外等</t>
  </si>
  <si>
    <t>基本公用经费标准</t>
  </si>
  <si>
    <t>应安排金额</t>
  </si>
  <si>
    <t>全额</t>
  </si>
  <si>
    <t>差额</t>
  </si>
  <si>
    <t>养老保险</t>
  </si>
  <si>
    <t>医疗保险</t>
  </si>
  <si>
    <t>失业保险</t>
  </si>
  <si>
    <t>生育保险</t>
  </si>
  <si>
    <t>工伤保险</t>
  </si>
  <si>
    <t>表二</t>
  </si>
  <si>
    <r>
      <t>湘乡市乡镇办202</t>
    </r>
    <r>
      <rPr>
        <b/>
        <sz val="36"/>
        <rFont val="宋体"/>
        <family val="3"/>
        <charset val="134"/>
      </rPr>
      <t>1</t>
    </r>
    <r>
      <rPr>
        <b/>
        <sz val="36"/>
        <rFont val="宋体"/>
        <family val="3"/>
        <charset val="134"/>
      </rPr>
      <t>年人员经费预算情况表</t>
    </r>
  </si>
  <si>
    <t>人员基本支出</t>
  </si>
  <si>
    <t>人员基本支出小计</t>
  </si>
  <si>
    <t>工资福利支出</t>
  </si>
  <si>
    <t>商品和服务支出</t>
  </si>
  <si>
    <t>对个人和家庭的补助</t>
  </si>
  <si>
    <t>工资福利支出小计</t>
  </si>
  <si>
    <t>基本工资</t>
  </si>
  <si>
    <t>地区津补贴（奖金、绩效工资）</t>
  </si>
  <si>
    <t>社会保障缴费</t>
  </si>
  <si>
    <t>商品和服务支出小计</t>
  </si>
  <si>
    <t>公用经费</t>
  </si>
  <si>
    <t>工会费</t>
  </si>
  <si>
    <t>福利费</t>
  </si>
  <si>
    <t>小 计</t>
  </si>
  <si>
    <t>行政</t>
  </si>
  <si>
    <t>事业公益性岗位</t>
  </si>
  <si>
    <t>事业非公益性岗位</t>
  </si>
  <si>
    <t>原全额</t>
  </si>
  <si>
    <t>原差额</t>
  </si>
  <si>
    <t>原林业</t>
  </si>
  <si>
    <t xml:space="preserve"> </t>
  </si>
  <si>
    <t>2021年合计</t>
  </si>
</sst>
</file>

<file path=xl/styles.xml><?xml version="1.0" encoding="utf-8"?>
<styleSheet xmlns="http://schemas.openxmlformats.org/spreadsheetml/2006/main">
  <numFmts count="4">
    <numFmt numFmtId="44" formatCode="_ &quot;¥&quot;* #,##0.00_ ;_ &quot;¥&quot;* \-#,##0.00_ ;_ &quot;¥&quot;* &quot;-&quot;??_ ;_ @_ "/>
    <numFmt numFmtId="176" formatCode="0_);[Red]\(0\)"/>
    <numFmt numFmtId="177" formatCode="#,##0_);[Red]\(#,##0\)"/>
    <numFmt numFmtId="178" formatCode="0_ "/>
  </numFmts>
  <fonts count="29">
    <font>
      <sz val="12"/>
      <name val="宋体"/>
      <charset val="134"/>
    </font>
    <font>
      <b/>
      <sz val="14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36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4"/>
      <name val="Times New Roman"/>
      <family val="1"/>
    </font>
    <font>
      <b/>
      <sz val="14"/>
      <name val="楷体_GB2312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2"/>
      <color indexed="8"/>
      <name val="仿宋_GB2312"/>
      <family val="3"/>
      <charset val="134"/>
    </font>
    <font>
      <sz val="10"/>
      <color indexed="8"/>
      <name val="方正姚体"/>
      <family val="3"/>
      <charset val="134"/>
    </font>
    <font>
      <sz val="10"/>
      <name val="方正姚体"/>
      <family val="3"/>
      <charset val="134"/>
    </font>
    <font>
      <b/>
      <sz val="24"/>
      <name val="宋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name val="Arial Narrow"/>
      <family val="2"/>
    </font>
    <font>
      <sz val="10"/>
      <color indexed="8"/>
      <name val="宋体"/>
      <family val="3"/>
      <charset val="134"/>
    </font>
    <font>
      <b/>
      <sz val="10"/>
      <name val="楷体_GB2312"/>
      <charset val="134"/>
    </font>
    <font>
      <b/>
      <sz val="2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9"/>
      <name val="宋体"/>
      <family val="3"/>
      <charset val="134"/>
    </font>
    <font>
      <sz val="9"/>
      <name val="Tahoma"/>
      <family val="2"/>
      <charset val="134"/>
    </font>
    <font>
      <b/>
      <sz val="9"/>
      <name val="Tahoma"/>
      <family val="2"/>
      <charset val="134"/>
    </font>
    <font>
      <sz val="12"/>
      <name val="宋体"/>
      <family val="3"/>
      <charset val="134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44" fontId="27" fillId="0" borderId="0" applyFont="0" applyFill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176" fontId="6" fillId="0" borderId="0" xfId="0" applyNumberFormat="1" applyFont="1" applyFill="1">
      <alignment vertical="center"/>
    </xf>
    <xf numFmtId="176" fontId="5" fillId="0" borderId="7" xfId="0" applyNumberFormat="1" applyFont="1" applyFill="1" applyBorder="1" applyAlignment="1">
      <alignment horizontal="center" vertical="center" wrapText="1"/>
    </xf>
    <xf numFmtId="177" fontId="7" fillId="0" borderId="7" xfId="0" applyNumberFormat="1" applyFont="1" applyFill="1" applyBorder="1" applyAlignment="1">
      <alignment vertical="center" shrinkToFit="1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76" fontId="8" fillId="2" borderId="7" xfId="0" applyNumberFormat="1" applyFont="1" applyFill="1" applyBorder="1" applyAlignment="1">
      <alignment horizontal="center" vertical="center"/>
    </xf>
    <xf numFmtId="177" fontId="7" fillId="2" borderId="7" xfId="0" applyNumberFormat="1" applyFont="1" applyFill="1" applyBorder="1" applyAlignment="1">
      <alignment vertical="center" shrinkToFit="1"/>
    </xf>
    <xf numFmtId="176" fontId="3" fillId="0" borderId="11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/>
    </xf>
    <xf numFmtId="0" fontId="0" fillId="2" borderId="0" xfId="0" applyFill="1" applyBorder="1">
      <alignment vertical="center"/>
    </xf>
    <xf numFmtId="0" fontId="0" fillId="2" borderId="0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0" fillId="2" borderId="7" xfId="0" applyFill="1" applyBorder="1">
      <alignment vertical="center"/>
    </xf>
    <xf numFmtId="0" fontId="0" fillId="2" borderId="7" xfId="0" applyFont="1" applyFill="1" applyBorder="1" applyAlignment="1">
      <alignment vertical="center" wrapText="1"/>
    </xf>
    <xf numFmtId="177" fontId="11" fillId="2" borderId="7" xfId="0" applyNumberFormat="1" applyFont="1" applyFill="1" applyBorder="1">
      <alignment vertical="center"/>
    </xf>
    <xf numFmtId="0" fontId="0" fillId="2" borderId="7" xfId="0" applyFont="1" applyFill="1" applyBorder="1">
      <alignment vertical="center"/>
    </xf>
    <xf numFmtId="178" fontId="0" fillId="2" borderId="0" xfId="0" applyNumberForma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0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13" fillId="0" borderId="7" xfId="0" applyFont="1" applyFill="1" applyBorder="1">
      <alignment vertical="center"/>
    </xf>
    <xf numFmtId="0" fontId="14" fillId="0" borderId="7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13" fillId="0" borderId="7" xfId="0" applyFont="1" applyFill="1" applyBorder="1" applyAlignment="1">
      <alignment horizontal="right" vertical="center"/>
    </xf>
    <xf numFmtId="176" fontId="0" fillId="0" borderId="0" xfId="0" applyNumberFormat="1" applyFill="1">
      <alignment vertical="center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177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7" fontId="18" fillId="0" borderId="7" xfId="0" applyNumberFormat="1" applyFont="1" applyFill="1" applyBorder="1" applyAlignment="1">
      <alignment horizontal="right" vertical="center" shrinkToFit="1"/>
    </xf>
    <xf numFmtId="0" fontId="3" fillId="0" borderId="7" xfId="2" applyFont="1" applyFill="1" applyBorder="1" applyAlignment="1" applyProtection="1">
      <alignment horizontal="center" vertical="center" wrapText="1"/>
      <protection locked="0"/>
    </xf>
    <xf numFmtId="1" fontId="19" fillId="0" borderId="7" xfId="31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29" applyFont="1" applyFill="1" applyBorder="1" applyAlignment="1" applyProtection="1">
      <alignment horizontal="center" vertical="center" wrapText="1"/>
      <protection locked="0"/>
    </xf>
    <xf numFmtId="0" fontId="3" fillId="0" borderId="7" xfId="34" applyFont="1" applyFill="1" applyBorder="1" applyAlignment="1" applyProtection="1">
      <alignment horizontal="center" vertical="center" wrapText="1"/>
      <protection locked="0"/>
    </xf>
    <xf numFmtId="0" fontId="3" fillId="0" borderId="7" xfId="30" applyFont="1" applyFill="1" applyBorder="1" applyAlignment="1" applyProtection="1">
      <alignment horizontal="center" vertical="center" wrapText="1"/>
      <protection locked="0"/>
    </xf>
    <xf numFmtId="0" fontId="3" fillId="0" borderId="7" xfId="32" applyFont="1" applyFill="1" applyBorder="1" applyAlignment="1" applyProtection="1">
      <alignment horizontal="center" vertical="center" wrapText="1"/>
      <protection locked="0"/>
    </xf>
    <xf numFmtId="0" fontId="3" fillId="0" borderId="7" xfId="28" applyFont="1" applyFill="1" applyBorder="1" applyAlignment="1" applyProtection="1">
      <alignment horizontal="center" vertical="center" wrapText="1"/>
      <protection locked="0"/>
    </xf>
    <xf numFmtId="0" fontId="3" fillId="0" borderId="7" xfId="27" applyFont="1" applyFill="1" applyBorder="1" applyAlignment="1" applyProtection="1">
      <alignment horizontal="center" vertical="center" wrapText="1"/>
      <protection locked="0"/>
    </xf>
    <xf numFmtId="0" fontId="3" fillId="0" borderId="7" xfId="10" applyFont="1" applyFill="1" applyBorder="1" applyAlignment="1" applyProtection="1">
      <alignment horizontal="center" vertical="center" wrapText="1"/>
      <protection locked="0"/>
    </xf>
    <xf numFmtId="0" fontId="3" fillId="0" borderId="7" xfId="15" applyFont="1" applyFill="1" applyBorder="1" applyAlignment="1" applyProtection="1">
      <alignment horizontal="center" vertical="center" wrapText="1"/>
      <protection locked="0"/>
    </xf>
    <xf numFmtId="0" fontId="3" fillId="0" borderId="7" xfId="35" applyFont="1" applyFill="1" applyBorder="1" applyAlignment="1" applyProtection="1">
      <alignment horizontal="center" vertical="center" wrapText="1"/>
      <protection locked="0"/>
    </xf>
    <xf numFmtId="0" fontId="3" fillId="0" borderId="7" xfId="33" applyFont="1" applyFill="1" applyBorder="1" applyAlignment="1" applyProtection="1">
      <alignment horizontal="center" vertical="center" wrapText="1"/>
      <protection locked="0"/>
    </xf>
    <xf numFmtId="176" fontId="20" fillId="0" borderId="7" xfId="0" applyNumberFormat="1" applyFont="1" applyFill="1" applyBorder="1" applyAlignment="1">
      <alignment horizontal="center"/>
    </xf>
    <xf numFmtId="177" fontId="0" fillId="0" borderId="0" xfId="0" applyNumberForma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>
      <alignment vertical="center"/>
    </xf>
    <xf numFmtId="0" fontId="21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177" fontId="23" fillId="0" borderId="7" xfId="0" applyNumberFormat="1" applyFont="1" applyBorder="1">
      <alignment vertical="center"/>
    </xf>
    <xf numFmtId="0" fontId="2" fillId="0" borderId="0" xfId="0" applyFont="1" applyBorder="1">
      <alignment vertical="center"/>
    </xf>
    <xf numFmtId="177" fontId="23" fillId="0" borderId="0" xfId="0" applyNumberFormat="1" applyFont="1" applyBorder="1">
      <alignment vertical="center"/>
    </xf>
    <xf numFmtId="0" fontId="12" fillId="0" borderId="7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177" fontId="11" fillId="2" borderId="7" xfId="0" applyNumberFormat="1" applyFont="1" applyFill="1" applyBorder="1" applyAlignment="1">
      <alignment vertical="center"/>
    </xf>
    <xf numFmtId="177" fontId="28" fillId="0" borderId="7" xfId="0" applyNumberFormat="1" applyFont="1" applyFill="1" applyBorder="1" applyAlignment="1">
      <alignment vertical="center" shrinkToFit="1"/>
    </xf>
    <xf numFmtId="177" fontId="28" fillId="2" borderId="7" xfId="0" applyNumberFormat="1" applyFont="1" applyFill="1" applyBorder="1" applyAlignment="1">
      <alignment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6" fillId="0" borderId="7" xfId="17" applyFont="1" applyBorder="1" applyAlignment="1">
      <alignment horizontal="center" vertical="center" wrapText="1"/>
    </xf>
    <xf numFmtId="0" fontId="6" fillId="0" borderId="1" xfId="17" applyFont="1" applyBorder="1" applyAlignment="1">
      <alignment horizontal="center" vertical="center" wrapText="1"/>
    </xf>
    <xf numFmtId="0" fontId="6" fillId="0" borderId="4" xfId="17" applyFont="1" applyBorder="1" applyAlignment="1">
      <alignment horizontal="center" vertical="center" wrapText="1"/>
    </xf>
    <xf numFmtId="0" fontId="6" fillId="0" borderId="8" xfId="17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6" fontId="15" fillId="0" borderId="0" xfId="0" applyNumberFormat="1" applyFont="1" applyFill="1" applyAlignment="1">
      <alignment horizontal="center" vertical="center"/>
    </xf>
    <xf numFmtId="176" fontId="3" fillId="0" borderId="11" xfId="0" applyNumberFormat="1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 wrapText="1" shrinkToFit="1"/>
    </xf>
    <xf numFmtId="176" fontId="16" fillId="0" borderId="3" xfId="0" applyNumberFormat="1" applyFont="1" applyFill="1" applyBorder="1" applyAlignment="1">
      <alignment horizontal="center" vertical="center" wrapText="1" shrinkToFit="1"/>
    </xf>
    <xf numFmtId="176" fontId="16" fillId="0" borderId="10" xfId="0" applyNumberFormat="1" applyFont="1" applyFill="1" applyBorder="1" applyAlignment="1">
      <alignment horizontal="center" vertical="center" wrapText="1" shrinkToFit="1"/>
    </xf>
    <xf numFmtId="176" fontId="16" fillId="0" borderId="7" xfId="0" applyNumberFormat="1" applyFont="1" applyFill="1" applyBorder="1" applyAlignment="1">
      <alignment horizontal="center" vertical="center" wrapText="1" shrinkToFit="1"/>
    </xf>
    <xf numFmtId="176" fontId="16" fillId="0" borderId="1" xfId="0" applyNumberFormat="1" applyFont="1" applyFill="1" applyBorder="1" applyAlignment="1">
      <alignment horizontal="center" vertical="center" wrapText="1" shrinkToFit="1"/>
    </xf>
    <xf numFmtId="176" fontId="16" fillId="0" borderId="4" xfId="0" applyNumberFormat="1" applyFont="1" applyFill="1" applyBorder="1" applyAlignment="1">
      <alignment horizontal="center" vertical="center" wrapText="1" shrinkToFit="1"/>
    </xf>
    <xf numFmtId="176" fontId="16" fillId="0" borderId="8" xfId="0" applyNumberFormat="1" applyFont="1" applyFill="1" applyBorder="1" applyAlignment="1">
      <alignment horizontal="center" vertical="center" wrapText="1" shrinkToFit="1"/>
    </xf>
    <xf numFmtId="176" fontId="17" fillId="0" borderId="7" xfId="0" applyNumberFormat="1" applyFont="1" applyFill="1" applyBorder="1" applyAlignment="1">
      <alignment horizontal="center" vertical="center" wrapText="1"/>
    </xf>
    <xf numFmtId="44" fontId="17" fillId="0" borderId="1" xfId="1" applyFont="1" applyFill="1" applyBorder="1" applyAlignment="1">
      <alignment horizontal="center" vertical="center" wrapText="1"/>
    </xf>
    <xf numFmtId="44" fontId="17" fillId="0" borderId="4" xfId="1" applyFont="1" applyFill="1" applyBorder="1" applyAlignment="1">
      <alignment horizontal="center" vertical="center" wrapText="1"/>
    </xf>
    <xf numFmtId="44" fontId="17" fillId="0" borderId="8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4" xfId="0" applyNumberFormat="1" applyFont="1" applyFill="1" applyBorder="1" applyAlignment="1">
      <alignment horizontal="center" vertical="center" wrapText="1" shrinkToFit="1"/>
    </xf>
    <xf numFmtId="176" fontId="5" fillId="0" borderId="8" xfId="0" applyNumberFormat="1" applyFont="1" applyFill="1" applyBorder="1" applyAlignment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" fillId="0" borderId="7" xfId="0" applyFont="1" applyFill="1" applyBorder="1">
      <alignment vertical="center"/>
    </xf>
    <xf numFmtId="176" fontId="5" fillId="0" borderId="1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 shrinkToFit="1"/>
    </xf>
    <xf numFmtId="176" fontId="5" fillId="0" borderId="6" xfId="0" applyNumberFormat="1" applyFont="1" applyFill="1" applyBorder="1" applyAlignment="1">
      <alignment horizontal="center" vertical="center" wrapText="1" shrinkToFit="1"/>
    </xf>
    <xf numFmtId="176" fontId="5" fillId="0" borderId="9" xfId="0" applyNumberFormat="1" applyFont="1" applyFill="1" applyBorder="1" applyAlignment="1">
      <alignment horizontal="center" vertical="center" wrapText="1" shrinkToFit="1"/>
    </xf>
  </cellXfs>
  <cellStyles count="47">
    <cellStyle name="常规" xfId="0" builtinId="0"/>
    <cellStyle name="常规 2" xfId="17"/>
    <cellStyle name="常规 2 2" xfId="12"/>
    <cellStyle name="常规 2 2 2" xfId="7"/>
    <cellStyle name="常规 2 2_2020年人员经费1" xfId="6"/>
    <cellStyle name="常规 2 3" xfId="14"/>
    <cellStyle name="常规 2 3 2" xfId="16"/>
    <cellStyle name="常规 2 3_2020年人员经费1" xfId="5"/>
    <cellStyle name="常规 2 4" xfId="18"/>
    <cellStyle name="常规 3" xfId="19"/>
    <cellStyle name="常规 3 2" xfId="9"/>
    <cellStyle name="常规 3 2 2" xfId="4"/>
    <cellStyle name="常规 3 2_2020年人员经费1" xfId="20"/>
    <cellStyle name="常规 3 3" xfId="11"/>
    <cellStyle name="常规 3 3 2" xfId="21"/>
    <cellStyle name="常规 3 3_2020年人员经费1" xfId="8"/>
    <cellStyle name="常规 3 4" xfId="13"/>
    <cellStyle name="常规 4" xfId="22"/>
    <cellStyle name="常规 4 2" xfId="23"/>
    <cellStyle name="常规 4_2020年人员经费1" xfId="24"/>
    <cellStyle name="常规 5" xfId="25"/>
    <cellStyle name="常规 5 2" xfId="3"/>
    <cellStyle name="常规 5_2020年人员经费1" xfId="26"/>
    <cellStyle name="常规_东郊070118" xfId="2"/>
    <cellStyle name="常规_翻江070119" xfId="27"/>
    <cellStyle name="常规_壶天070122" xfId="28"/>
    <cellStyle name="常规_金石070119" xfId="15"/>
    <cellStyle name="常规_金薮070129" xfId="10"/>
    <cellStyle name="常规_栗山070116" xfId="29"/>
    <cellStyle name="常规_毛田070122" xfId="30"/>
    <cellStyle name="常规_梅桥070123" xfId="31"/>
    <cellStyle name="常规_棋梓070119" xfId="32"/>
    <cellStyle name="常规_泉塘070117" xfId="33"/>
    <cellStyle name="常规_虞塘070129" xfId="34"/>
    <cellStyle name="常规_育段070124" xfId="35"/>
    <cellStyle name="货币" xfId="1" builtinId="4"/>
    <cellStyle name="货币 2" xfId="36"/>
    <cellStyle name="货币 2 2" xfId="37"/>
    <cellStyle name="货币 2 2 2" xfId="38"/>
    <cellStyle name="货币 2 3" xfId="39"/>
    <cellStyle name="货币 2 3 2" xfId="40"/>
    <cellStyle name="货币 2 4" xfId="41"/>
    <cellStyle name="货币 3" xfId="42"/>
    <cellStyle name="货币 3 2" xfId="43"/>
    <cellStyle name="货币 4" xfId="44"/>
    <cellStyle name="货币 4 2" xfId="45"/>
    <cellStyle name="货币 5" xfId="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H15"/>
  <sheetViews>
    <sheetView showZeros="0" workbookViewId="0">
      <pane xSplit="2" ySplit="7" topLeftCell="C8" activePane="bottomRight" state="frozen"/>
      <selection pane="topRight"/>
      <selection pane="bottomLeft"/>
      <selection pane="bottomRight" activeCell="AE17" sqref="AE17"/>
    </sheetView>
  </sheetViews>
  <sheetFormatPr defaultColWidth="8.75" defaultRowHeight="14.25"/>
  <cols>
    <col min="1" max="1" width="7.5" style="53" customWidth="1"/>
    <col min="2" max="2" width="10" style="53" customWidth="1"/>
    <col min="3" max="3" width="7.625" style="53" customWidth="1"/>
    <col min="4" max="5" width="8.125" style="53" customWidth="1"/>
    <col min="6" max="10" width="9.5" style="53" customWidth="1"/>
    <col min="11" max="11" width="5.75" style="53" customWidth="1"/>
    <col min="12" max="17" width="9.5" style="53" customWidth="1"/>
    <col min="18" max="18" width="9.25" style="53" customWidth="1"/>
    <col min="19" max="19" width="5.5" style="53" customWidth="1"/>
    <col min="20" max="26" width="9.5" style="53" customWidth="1"/>
    <col min="27" max="27" width="6.5" style="53" customWidth="1"/>
    <col min="28" max="34" width="9.5" style="53" customWidth="1"/>
    <col min="35" max="35" width="4.625" style="53" customWidth="1"/>
    <col min="36" max="41" width="9.125" style="53" customWidth="1"/>
    <col min="42" max="42" width="9.5" style="53" customWidth="1"/>
    <col min="43" max="43" width="5.625" style="53" customWidth="1"/>
    <col min="44" max="45" width="9.25" style="53" customWidth="1"/>
    <col min="46" max="57" width="9.125" style="53" customWidth="1"/>
    <col min="58" max="58" width="7.25" style="53" customWidth="1"/>
    <col min="59" max="62" width="6.375" style="53" customWidth="1"/>
    <col min="63" max="63" width="8" style="53" customWidth="1"/>
    <col min="64" max="64" width="9.375" style="53" customWidth="1"/>
    <col min="65" max="65" width="7.625" style="53" customWidth="1"/>
    <col min="66" max="66" width="4.75" style="53" customWidth="1"/>
    <col min="67" max="68" width="6.75" style="53" customWidth="1"/>
    <col min="69" max="71" width="10.375" style="53" customWidth="1"/>
    <col min="72" max="72" width="7" style="53" customWidth="1"/>
    <col min="73" max="73" width="6.75" style="53" customWidth="1"/>
    <col min="74" max="74" width="4" style="53" customWidth="1"/>
    <col min="75" max="76" width="7.5" style="53" customWidth="1"/>
    <col min="77" max="79" width="9.375" style="53" customWidth="1"/>
    <col min="80" max="80" width="8" style="53" customWidth="1"/>
    <col min="81" max="81" width="5.25" style="53" customWidth="1"/>
    <col min="82" max="82" width="8" style="53" customWidth="1"/>
    <col min="83" max="83" width="7.75" style="53" customWidth="1"/>
    <col min="84" max="84" width="6.25" style="53" customWidth="1"/>
    <col min="85" max="85" width="6.75" style="53" customWidth="1"/>
    <col min="86" max="16384" width="8.75" style="53"/>
  </cols>
  <sheetData>
    <row r="1" spans="1:86">
      <c r="A1" s="53" t="s">
        <v>0</v>
      </c>
    </row>
    <row r="2" spans="1:86" ht="25.5">
      <c r="A2" s="88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  <c r="CC2" s="54"/>
    </row>
    <row r="3" spans="1:86" ht="25.5">
      <c r="A3" s="55" t="s">
        <v>2</v>
      </c>
      <c r="B3" s="55"/>
      <c r="C3" s="55"/>
      <c r="D3" s="55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N3" s="61"/>
      <c r="BO3" s="61"/>
      <c r="BP3" s="61"/>
      <c r="BQ3" s="61"/>
      <c r="BR3" s="61"/>
      <c r="BS3" s="61"/>
      <c r="BT3" s="61"/>
      <c r="BU3" s="61"/>
    </row>
    <row r="4" spans="1:86" ht="44.25" customHeight="1">
      <c r="A4" s="87" t="s">
        <v>3</v>
      </c>
      <c r="B4" s="89" t="s">
        <v>4</v>
      </c>
      <c r="C4" s="90"/>
      <c r="D4" s="90"/>
      <c r="E4" s="90"/>
      <c r="F4" s="90"/>
      <c r="G4" s="90"/>
      <c r="H4" s="90"/>
      <c r="I4" s="91"/>
      <c r="J4" s="90" t="s">
        <v>5</v>
      </c>
      <c r="K4" s="90"/>
      <c r="L4" s="90"/>
      <c r="M4" s="90"/>
      <c r="N4" s="90"/>
      <c r="O4" s="90"/>
      <c r="P4" s="90"/>
      <c r="Q4" s="91"/>
      <c r="R4" s="89" t="s">
        <v>6</v>
      </c>
      <c r="S4" s="90"/>
      <c r="T4" s="90"/>
      <c r="U4" s="90"/>
      <c r="V4" s="90"/>
      <c r="W4" s="90"/>
      <c r="X4" s="90"/>
      <c r="Y4" s="91"/>
      <c r="Z4" s="89" t="s">
        <v>7</v>
      </c>
      <c r="AA4" s="90"/>
      <c r="AB4" s="90"/>
      <c r="AC4" s="90"/>
      <c r="AD4" s="90"/>
      <c r="AE4" s="90"/>
      <c r="AF4" s="90"/>
      <c r="AG4" s="91"/>
      <c r="AH4" s="89" t="s">
        <v>8</v>
      </c>
      <c r="AI4" s="90"/>
      <c r="AJ4" s="90"/>
      <c r="AK4" s="90"/>
      <c r="AL4" s="90"/>
      <c r="AM4" s="90"/>
      <c r="AN4" s="90"/>
      <c r="AO4" s="91"/>
      <c r="AP4" s="89" t="s">
        <v>9</v>
      </c>
      <c r="AQ4" s="90"/>
      <c r="AR4" s="90"/>
      <c r="AS4" s="90"/>
      <c r="AT4" s="90"/>
      <c r="AU4" s="90"/>
      <c r="AV4" s="90"/>
      <c r="AW4" s="91"/>
      <c r="AX4" s="89" t="s">
        <v>10</v>
      </c>
      <c r="AY4" s="90"/>
      <c r="AZ4" s="90"/>
      <c r="BA4" s="90"/>
      <c r="BB4" s="90"/>
      <c r="BC4" s="90"/>
      <c r="BD4" s="90"/>
      <c r="BE4" s="91"/>
      <c r="BF4" s="89" t="s">
        <v>11</v>
      </c>
      <c r="BG4" s="90"/>
      <c r="BH4" s="90"/>
      <c r="BI4" s="90"/>
      <c r="BJ4" s="90"/>
      <c r="BK4" s="90"/>
      <c r="BL4" s="91"/>
      <c r="BM4" s="69" t="s">
        <v>12</v>
      </c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79" t="s">
        <v>13</v>
      </c>
      <c r="CD4" s="79"/>
      <c r="CE4" s="84" t="s">
        <v>14</v>
      </c>
      <c r="CF4" s="85"/>
      <c r="CG4" s="86"/>
      <c r="CH4" s="69" t="s">
        <v>15</v>
      </c>
    </row>
    <row r="5" spans="1:86" ht="14.25" customHeight="1">
      <c r="A5" s="87"/>
      <c r="B5" s="76" t="s">
        <v>16</v>
      </c>
      <c r="C5" s="80" t="s">
        <v>17</v>
      </c>
      <c r="D5" s="80" t="s">
        <v>18</v>
      </c>
      <c r="E5" s="80" t="s">
        <v>19</v>
      </c>
      <c r="F5" s="76" t="s">
        <v>20</v>
      </c>
      <c r="G5" s="76" t="s">
        <v>21</v>
      </c>
      <c r="H5" s="76" t="s">
        <v>22</v>
      </c>
      <c r="I5" s="76" t="s">
        <v>23</v>
      </c>
      <c r="J5" s="76" t="s">
        <v>24</v>
      </c>
      <c r="K5" s="76" t="s">
        <v>25</v>
      </c>
      <c r="L5" s="79" t="s">
        <v>26</v>
      </c>
      <c r="M5" s="79" t="s">
        <v>27</v>
      </c>
      <c r="N5" s="76" t="s">
        <v>28</v>
      </c>
      <c r="O5" s="76" t="s">
        <v>29</v>
      </c>
      <c r="P5" s="76" t="s">
        <v>22</v>
      </c>
      <c r="Q5" s="76" t="s">
        <v>30</v>
      </c>
      <c r="R5" s="76" t="s">
        <v>24</v>
      </c>
      <c r="S5" s="79" t="s">
        <v>25</v>
      </c>
      <c r="T5" s="79" t="s">
        <v>31</v>
      </c>
      <c r="U5" s="79" t="s">
        <v>32</v>
      </c>
      <c r="V5" s="76" t="s">
        <v>28</v>
      </c>
      <c r="W5" s="76" t="s">
        <v>21</v>
      </c>
      <c r="X5" s="76" t="s">
        <v>22</v>
      </c>
      <c r="Y5" s="76" t="s">
        <v>30</v>
      </c>
      <c r="Z5" s="81" t="s">
        <v>16</v>
      </c>
      <c r="AA5" s="80" t="s">
        <v>17</v>
      </c>
      <c r="AB5" s="80" t="s">
        <v>18</v>
      </c>
      <c r="AC5" s="80" t="s">
        <v>19</v>
      </c>
      <c r="AD5" s="76" t="s">
        <v>20</v>
      </c>
      <c r="AE5" s="76" t="s">
        <v>21</v>
      </c>
      <c r="AF5" s="76" t="s">
        <v>22</v>
      </c>
      <c r="AG5" s="76" t="s">
        <v>23</v>
      </c>
      <c r="AH5" s="76" t="s">
        <v>24</v>
      </c>
      <c r="AI5" s="79" t="s">
        <v>25</v>
      </c>
      <c r="AJ5" s="79" t="s">
        <v>31</v>
      </c>
      <c r="AK5" s="79" t="s">
        <v>32</v>
      </c>
      <c r="AL5" s="76" t="s">
        <v>28</v>
      </c>
      <c r="AM5" s="76" t="s">
        <v>21</v>
      </c>
      <c r="AN5" s="76" t="s">
        <v>22</v>
      </c>
      <c r="AO5" s="76" t="s">
        <v>30</v>
      </c>
      <c r="AP5" s="76" t="s">
        <v>24</v>
      </c>
      <c r="AQ5" s="79" t="s">
        <v>25</v>
      </c>
      <c r="AR5" s="79" t="s">
        <v>26</v>
      </c>
      <c r="AS5" s="79" t="s">
        <v>27</v>
      </c>
      <c r="AT5" s="76" t="s">
        <v>28</v>
      </c>
      <c r="AU5" s="76" t="s">
        <v>21</v>
      </c>
      <c r="AV5" s="76" t="s">
        <v>22</v>
      </c>
      <c r="AW5" s="76" t="s">
        <v>30</v>
      </c>
      <c r="AX5" s="76" t="s">
        <v>24</v>
      </c>
      <c r="AY5" s="79" t="s">
        <v>25</v>
      </c>
      <c r="AZ5" s="79" t="s">
        <v>26</v>
      </c>
      <c r="BA5" s="79" t="s">
        <v>27</v>
      </c>
      <c r="BB5" s="76" t="s">
        <v>28</v>
      </c>
      <c r="BC5" s="76" t="s">
        <v>21</v>
      </c>
      <c r="BD5" s="76" t="s">
        <v>22</v>
      </c>
      <c r="BE5" s="76" t="s">
        <v>30</v>
      </c>
      <c r="BF5" s="79" t="s">
        <v>24</v>
      </c>
      <c r="BG5" s="76" t="s">
        <v>25</v>
      </c>
      <c r="BH5" s="76" t="s">
        <v>33</v>
      </c>
      <c r="BI5" s="76" t="s">
        <v>34</v>
      </c>
      <c r="BJ5" s="76" t="s">
        <v>35</v>
      </c>
      <c r="BK5" s="76" t="s">
        <v>36</v>
      </c>
      <c r="BL5" s="76" t="s">
        <v>37</v>
      </c>
      <c r="BM5" s="70" t="s">
        <v>38</v>
      </c>
      <c r="BN5" s="71"/>
      <c r="BO5" s="71"/>
      <c r="BP5" s="71"/>
      <c r="BQ5" s="71"/>
      <c r="BR5" s="71"/>
      <c r="BS5" s="71"/>
      <c r="BT5" s="72"/>
      <c r="BU5" s="70" t="s">
        <v>39</v>
      </c>
      <c r="BV5" s="71"/>
      <c r="BW5" s="71"/>
      <c r="BX5" s="71"/>
      <c r="BY5" s="71"/>
      <c r="BZ5" s="71"/>
      <c r="CA5" s="71"/>
      <c r="CB5" s="72"/>
      <c r="CC5" s="79" t="s">
        <v>25</v>
      </c>
      <c r="CD5" s="79" t="s">
        <v>40</v>
      </c>
      <c r="CE5" s="76" t="s">
        <v>41</v>
      </c>
      <c r="CF5" s="69" t="s">
        <v>42</v>
      </c>
      <c r="CG5" s="66" t="s">
        <v>43</v>
      </c>
      <c r="CH5" s="69"/>
    </row>
    <row r="6" spans="1:86" ht="28.5" customHeight="1">
      <c r="A6" s="87"/>
      <c r="B6" s="77"/>
      <c r="C6" s="80"/>
      <c r="D6" s="80"/>
      <c r="E6" s="80"/>
      <c r="F6" s="77"/>
      <c r="G6" s="77"/>
      <c r="H6" s="77"/>
      <c r="I6" s="77"/>
      <c r="J6" s="77"/>
      <c r="K6" s="77"/>
      <c r="L6" s="79"/>
      <c r="M6" s="79"/>
      <c r="N6" s="77"/>
      <c r="O6" s="77"/>
      <c r="P6" s="77"/>
      <c r="Q6" s="77"/>
      <c r="R6" s="77"/>
      <c r="S6" s="79"/>
      <c r="T6" s="79"/>
      <c r="U6" s="79"/>
      <c r="V6" s="77"/>
      <c r="W6" s="77"/>
      <c r="X6" s="77"/>
      <c r="Y6" s="77"/>
      <c r="Z6" s="82"/>
      <c r="AA6" s="80"/>
      <c r="AB6" s="80"/>
      <c r="AC6" s="80"/>
      <c r="AD6" s="77"/>
      <c r="AE6" s="77"/>
      <c r="AF6" s="77"/>
      <c r="AG6" s="77"/>
      <c r="AH6" s="77"/>
      <c r="AI6" s="79"/>
      <c r="AJ6" s="79"/>
      <c r="AK6" s="79"/>
      <c r="AL6" s="77"/>
      <c r="AM6" s="77"/>
      <c r="AN6" s="77"/>
      <c r="AO6" s="77"/>
      <c r="AP6" s="77"/>
      <c r="AQ6" s="79"/>
      <c r="AR6" s="79"/>
      <c r="AS6" s="79"/>
      <c r="AT6" s="77"/>
      <c r="AU6" s="77"/>
      <c r="AV6" s="77"/>
      <c r="AW6" s="77"/>
      <c r="AX6" s="77"/>
      <c r="AY6" s="79"/>
      <c r="AZ6" s="79"/>
      <c r="BA6" s="79"/>
      <c r="BB6" s="77"/>
      <c r="BC6" s="77"/>
      <c r="BD6" s="77"/>
      <c r="BE6" s="77"/>
      <c r="BF6" s="79"/>
      <c r="BG6" s="77"/>
      <c r="BH6" s="77"/>
      <c r="BI6" s="77"/>
      <c r="BJ6" s="77"/>
      <c r="BK6" s="77"/>
      <c r="BL6" s="77"/>
      <c r="BM6" s="73"/>
      <c r="BN6" s="74"/>
      <c r="BO6" s="74"/>
      <c r="BP6" s="74"/>
      <c r="BQ6" s="74"/>
      <c r="BR6" s="74"/>
      <c r="BS6" s="74"/>
      <c r="BT6" s="75"/>
      <c r="BU6" s="73"/>
      <c r="BV6" s="74"/>
      <c r="BW6" s="74"/>
      <c r="BX6" s="74"/>
      <c r="BY6" s="74"/>
      <c r="BZ6" s="74"/>
      <c r="CA6" s="74"/>
      <c r="CB6" s="75"/>
      <c r="CC6" s="79"/>
      <c r="CD6" s="79"/>
      <c r="CE6" s="77"/>
      <c r="CF6" s="69"/>
      <c r="CG6" s="67"/>
      <c r="CH6" s="69"/>
    </row>
    <row r="7" spans="1:86" ht="48.75" customHeight="1">
      <c r="A7" s="87"/>
      <c r="B7" s="78"/>
      <c r="C7" s="80"/>
      <c r="D7" s="80"/>
      <c r="E7" s="80"/>
      <c r="F7" s="78"/>
      <c r="G7" s="78"/>
      <c r="H7" s="78"/>
      <c r="I7" s="78"/>
      <c r="J7" s="78"/>
      <c r="K7" s="78"/>
      <c r="L7" s="79"/>
      <c r="M7" s="79"/>
      <c r="N7" s="78"/>
      <c r="O7" s="78"/>
      <c r="P7" s="78"/>
      <c r="Q7" s="78"/>
      <c r="R7" s="78"/>
      <c r="S7" s="79"/>
      <c r="T7" s="79"/>
      <c r="U7" s="79"/>
      <c r="V7" s="78"/>
      <c r="W7" s="78"/>
      <c r="X7" s="78"/>
      <c r="Y7" s="78"/>
      <c r="Z7" s="83"/>
      <c r="AA7" s="80"/>
      <c r="AB7" s="80"/>
      <c r="AC7" s="80"/>
      <c r="AD7" s="78"/>
      <c r="AE7" s="78"/>
      <c r="AF7" s="78"/>
      <c r="AG7" s="78"/>
      <c r="AH7" s="78"/>
      <c r="AI7" s="79"/>
      <c r="AJ7" s="79"/>
      <c r="AK7" s="79"/>
      <c r="AL7" s="78"/>
      <c r="AM7" s="78"/>
      <c r="AN7" s="78"/>
      <c r="AO7" s="78"/>
      <c r="AP7" s="78"/>
      <c r="AQ7" s="79"/>
      <c r="AR7" s="79"/>
      <c r="AS7" s="79"/>
      <c r="AT7" s="78"/>
      <c r="AU7" s="78"/>
      <c r="AV7" s="78"/>
      <c r="AW7" s="78"/>
      <c r="AX7" s="78"/>
      <c r="AY7" s="79"/>
      <c r="AZ7" s="79"/>
      <c r="BA7" s="79"/>
      <c r="BB7" s="78"/>
      <c r="BC7" s="78"/>
      <c r="BD7" s="78"/>
      <c r="BE7" s="78"/>
      <c r="BF7" s="79"/>
      <c r="BG7" s="78"/>
      <c r="BH7" s="78"/>
      <c r="BI7" s="78"/>
      <c r="BJ7" s="78"/>
      <c r="BK7" s="78"/>
      <c r="BL7" s="78"/>
      <c r="BM7" s="60" t="s">
        <v>24</v>
      </c>
      <c r="BN7" s="62" t="s">
        <v>25</v>
      </c>
      <c r="BO7" s="62" t="s">
        <v>26</v>
      </c>
      <c r="BP7" s="62" t="s">
        <v>44</v>
      </c>
      <c r="BQ7" s="62" t="s">
        <v>28</v>
      </c>
      <c r="BR7" s="62" t="s">
        <v>29</v>
      </c>
      <c r="BS7" s="62" t="s">
        <v>45</v>
      </c>
      <c r="BT7" s="62" t="s">
        <v>30</v>
      </c>
      <c r="BU7" s="60" t="s">
        <v>24</v>
      </c>
      <c r="BV7" s="62" t="s">
        <v>25</v>
      </c>
      <c r="BW7" s="62" t="s">
        <v>26</v>
      </c>
      <c r="BX7" s="62" t="s">
        <v>44</v>
      </c>
      <c r="BY7" s="62" t="s">
        <v>28</v>
      </c>
      <c r="BZ7" s="62" t="s">
        <v>29</v>
      </c>
      <c r="CA7" s="62" t="s">
        <v>45</v>
      </c>
      <c r="CB7" s="62" t="s">
        <v>30</v>
      </c>
      <c r="CC7" s="79"/>
      <c r="CD7" s="79"/>
      <c r="CE7" s="78"/>
      <c r="CF7" s="69"/>
      <c r="CG7" s="68"/>
      <c r="CH7" s="69"/>
    </row>
    <row r="8" spans="1:86" s="2" customFormat="1" ht="24.95" customHeight="1">
      <c r="A8" s="23" t="s">
        <v>46</v>
      </c>
      <c r="B8" s="22">
        <f t="shared" ref="B8" si="0">D8+E8+F8+G8+H8+I8</f>
        <v>423888</v>
      </c>
      <c r="C8" s="22">
        <f t="shared" ref="C8" si="1">K8+S8</f>
        <v>36</v>
      </c>
      <c r="D8" s="22">
        <f t="shared" ref="D8" si="2">L8+T8</f>
        <v>115525</v>
      </c>
      <c r="E8" s="22">
        <f t="shared" ref="E8" si="3">M8+U8</f>
        <v>63380</v>
      </c>
      <c r="F8" s="22">
        <f t="shared" ref="F8" si="4">N8+V8</f>
        <v>0</v>
      </c>
      <c r="G8" s="22">
        <f t="shared" ref="G8" si="5">O8+W8</f>
        <v>20620</v>
      </c>
      <c r="H8" s="22">
        <f t="shared" ref="H8" si="6">P8+X8</f>
        <v>36000</v>
      </c>
      <c r="I8" s="22">
        <f t="shared" ref="I8" si="7">Q8+Y8</f>
        <v>188363</v>
      </c>
      <c r="J8" s="22">
        <f t="shared" ref="J8" si="8">L8+M8+N8+O8+P8</f>
        <v>157203</v>
      </c>
      <c r="K8" s="22">
        <v>22</v>
      </c>
      <c r="L8" s="22">
        <v>79167</v>
      </c>
      <c r="M8" s="22">
        <v>42276</v>
      </c>
      <c r="N8" s="22"/>
      <c r="O8" s="22">
        <v>13760</v>
      </c>
      <c r="P8" s="22">
        <v>22000</v>
      </c>
      <c r="Q8" s="22">
        <v>127941</v>
      </c>
      <c r="R8" s="22">
        <f t="shared" ref="R8" si="9">T8+U8+V8+W8+X8</f>
        <v>78322</v>
      </c>
      <c r="S8" s="22">
        <v>14</v>
      </c>
      <c r="T8" s="22">
        <v>36358</v>
      </c>
      <c r="U8" s="22">
        <v>21104</v>
      </c>
      <c r="V8" s="22"/>
      <c r="W8" s="22">
        <v>6860</v>
      </c>
      <c r="X8" s="22">
        <v>14000</v>
      </c>
      <c r="Y8" s="22">
        <v>60422</v>
      </c>
      <c r="Z8" s="22">
        <f t="shared" ref="Z8" si="10">AH8+AP8+AX8</f>
        <v>408207</v>
      </c>
      <c r="AA8" s="22">
        <f t="shared" ref="AA8" si="11">AI8+AQ8+AY8</f>
        <v>67</v>
      </c>
      <c r="AB8" s="22">
        <f t="shared" ref="AB8" si="12">AJ8+AR8+AZ8</f>
        <v>189269</v>
      </c>
      <c r="AC8" s="22">
        <f t="shared" ref="AC8" si="13">AK8+AS8+BA8</f>
        <v>116008</v>
      </c>
      <c r="AD8" s="22">
        <f t="shared" ref="AD8" si="14">AL8+AT8+BB8</f>
        <v>0</v>
      </c>
      <c r="AE8" s="22">
        <f t="shared" ref="AE8" si="15">AM8+AU8+BC8</f>
        <v>35930</v>
      </c>
      <c r="AF8" s="22">
        <f t="shared" ref="AF8" si="16">AN8+AV8+BD8</f>
        <v>67000</v>
      </c>
      <c r="AG8" s="22">
        <f t="shared" ref="AG8" si="17">AO8+AW8+BE8</f>
        <v>305817</v>
      </c>
      <c r="AH8" s="22">
        <f t="shared" ref="AH8" si="18">AJ8+AK8+AL8+AM8+AN8</f>
        <v>225330</v>
      </c>
      <c r="AI8" s="22">
        <v>34</v>
      </c>
      <c r="AJ8" s="22">
        <v>109963</v>
      </c>
      <c r="AK8" s="22">
        <v>62457</v>
      </c>
      <c r="AL8" s="22"/>
      <c r="AM8" s="22">
        <v>18910</v>
      </c>
      <c r="AN8" s="22">
        <v>34000</v>
      </c>
      <c r="AO8" s="22">
        <v>172870</v>
      </c>
      <c r="AP8" s="22">
        <f t="shared" ref="AP8" si="19">AR8+AS8+AT8+AU8+AV8</f>
        <v>63197</v>
      </c>
      <c r="AQ8" s="22">
        <v>11</v>
      </c>
      <c r="AR8" s="22">
        <v>28572</v>
      </c>
      <c r="AS8" s="22">
        <v>18265</v>
      </c>
      <c r="AT8" s="22"/>
      <c r="AU8" s="22">
        <v>5360</v>
      </c>
      <c r="AV8" s="22">
        <v>11000</v>
      </c>
      <c r="AW8" s="22">
        <v>46927</v>
      </c>
      <c r="AX8" s="22">
        <f t="shared" ref="AX8" si="20">AZ8+BA8+BB8+BC8+BD8</f>
        <v>119680</v>
      </c>
      <c r="AY8" s="22">
        <v>22</v>
      </c>
      <c r="AZ8" s="22">
        <v>50734</v>
      </c>
      <c r="BA8" s="22">
        <v>35286</v>
      </c>
      <c r="BB8" s="22"/>
      <c r="BC8" s="22">
        <v>11660</v>
      </c>
      <c r="BD8" s="22">
        <v>22000</v>
      </c>
      <c r="BE8" s="22">
        <v>86020</v>
      </c>
      <c r="BF8" s="22">
        <f t="shared" ref="BF8" si="21">BH8+BI8+BJ8+BK8+BL8</f>
        <v>0</v>
      </c>
      <c r="BG8" s="22"/>
      <c r="BH8" s="22"/>
      <c r="BI8" s="22"/>
      <c r="BJ8" s="22"/>
      <c r="BK8" s="22"/>
      <c r="BL8" s="22"/>
      <c r="BM8" s="22">
        <f t="shared" ref="BM8" si="22">BO8+BP8+BQ8+BR8+BS8</f>
        <v>0</v>
      </c>
      <c r="BN8" s="22"/>
      <c r="BO8" s="22"/>
      <c r="BP8" s="22"/>
      <c r="BQ8" s="22"/>
      <c r="BR8" s="22"/>
      <c r="BS8" s="22"/>
      <c r="BT8" s="22"/>
      <c r="BU8" s="22">
        <f t="shared" ref="BU8" si="23">BW8+BX8+BY8+BZ8+CA8</f>
        <v>52992</v>
      </c>
      <c r="BV8" s="22">
        <v>10</v>
      </c>
      <c r="BW8" s="22">
        <v>24821</v>
      </c>
      <c r="BX8" s="22">
        <v>16031</v>
      </c>
      <c r="BY8" s="22"/>
      <c r="BZ8" s="22">
        <v>2140</v>
      </c>
      <c r="CA8" s="22">
        <v>10000</v>
      </c>
      <c r="CB8" s="22">
        <v>40912</v>
      </c>
      <c r="CC8" s="22">
        <v>9</v>
      </c>
      <c r="CD8" s="63">
        <v>6210</v>
      </c>
      <c r="CE8" s="22">
        <f t="shared" ref="CE8" si="24">CF8+CG8</f>
        <v>0</v>
      </c>
      <c r="CF8" s="22"/>
      <c r="CG8" s="22"/>
      <c r="CH8" s="23">
        <v>45</v>
      </c>
    </row>
    <row r="9" spans="1:86" ht="24.95" customHeight="1">
      <c r="A9" s="56" t="s">
        <v>24</v>
      </c>
      <c r="B9" s="57">
        <f t="shared" ref="B9:AG9" si="25">SUM(B8:B8)</f>
        <v>423888</v>
      </c>
      <c r="C9" s="57">
        <f t="shared" si="25"/>
        <v>36</v>
      </c>
      <c r="D9" s="57">
        <f t="shared" si="25"/>
        <v>115525</v>
      </c>
      <c r="E9" s="57">
        <f t="shared" si="25"/>
        <v>63380</v>
      </c>
      <c r="F9" s="57">
        <f t="shared" si="25"/>
        <v>0</v>
      </c>
      <c r="G9" s="57">
        <f t="shared" si="25"/>
        <v>20620</v>
      </c>
      <c r="H9" s="57">
        <f t="shared" si="25"/>
        <v>36000</v>
      </c>
      <c r="I9" s="57">
        <f t="shared" si="25"/>
        <v>188363</v>
      </c>
      <c r="J9" s="57">
        <f t="shared" si="25"/>
        <v>157203</v>
      </c>
      <c r="K9" s="57">
        <f t="shared" si="25"/>
        <v>22</v>
      </c>
      <c r="L9" s="57">
        <f t="shared" si="25"/>
        <v>79167</v>
      </c>
      <c r="M9" s="57">
        <f t="shared" si="25"/>
        <v>42276</v>
      </c>
      <c r="N9" s="57">
        <f t="shared" si="25"/>
        <v>0</v>
      </c>
      <c r="O9" s="57">
        <f t="shared" si="25"/>
        <v>13760</v>
      </c>
      <c r="P9" s="57">
        <f t="shared" si="25"/>
        <v>22000</v>
      </c>
      <c r="Q9" s="57">
        <f t="shared" si="25"/>
        <v>127941</v>
      </c>
      <c r="R9" s="57">
        <f t="shared" si="25"/>
        <v>78322</v>
      </c>
      <c r="S9" s="57">
        <f t="shared" si="25"/>
        <v>14</v>
      </c>
      <c r="T9" s="57">
        <f t="shared" si="25"/>
        <v>36358</v>
      </c>
      <c r="U9" s="57">
        <f t="shared" si="25"/>
        <v>21104</v>
      </c>
      <c r="V9" s="57">
        <f t="shared" si="25"/>
        <v>0</v>
      </c>
      <c r="W9" s="57">
        <f t="shared" si="25"/>
        <v>6860</v>
      </c>
      <c r="X9" s="57">
        <f t="shared" si="25"/>
        <v>14000</v>
      </c>
      <c r="Y9" s="57">
        <f t="shared" si="25"/>
        <v>60422</v>
      </c>
      <c r="Z9" s="57">
        <f t="shared" si="25"/>
        <v>408207</v>
      </c>
      <c r="AA9" s="57">
        <f t="shared" si="25"/>
        <v>67</v>
      </c>
      <c r="AB9" s="57">
        <f t="shared" si="25"/>
        <v>189269</v>
      </c>
      <c r="AC9" s="57">
        <f t="shared" si="25"/>
        <v>116008</v>
      </c>
      <c r="AD9" s="57">
        <f t="shared" si="25"/>
        <v>0</v>
      </c>
      <c r="AE9" s="57">
        <f t="shared" si="25"/>
        <v>35930</v>
      </c>
      <c r="AF9" s="57">
        <f t="shared" si="25"/>
        <v>67000</v>
      </c>
      <c r="AG9" s="57">
        <f t="shared" si="25"/>
        <v>305817</v>
      </c>
      <c r="AH9" s="57">
        <f t="shared" ref="AH9:BM9" si="26">SUM(AH8:AH8)</f>
        <v>225330</v>
      </c>
      <c r="AI9" s="57">
        <f t="shared" si="26"/>
        <v>34</v>
      </c>
      <c r="AJ9" s="57">
        <f t="shared" si="26"/>
        <v>109963</v>
      </c>
      <c r="AK9" s="57">
        <f t="shared" si="26"/>
        <v>62457</v>
      </c>
      <c r="AL9" s="57">
        <f t="shared" si="26"/>
        <v>0</v>
      </c>
      <c r="AM9" s="57">
        <f t="shared" si="26"/>
        <v>18910</v>
      </c>
      <c r="AN9" s="57">
        <f t="shared" si="26"/>
        <v>34000</v>
      </c>
      <c r="AO9" s="57">
        <f t="shared" si="26"/>
        <v>172870</v>
      </c>
      <c r="AP9" s="57">
        <f t="shared" si="26"/>
        <v>63197</v>
      </c>
      <c r="AQ9" s="57">
        <f t="shared" si="26"/>
        <v>11</v>
      </c>
      <c r="AR9" s="57">
        <f t="shared" si="26"/>
        <v>28572</v>
      </c>
      <c r="AS9" s="57">
        <f t="shared" si="26"/>
        <v>18265</v>
      </c>
      <c r="AT9" s="57">
        <f t="shared" si="26"/>
        <v>0</v>
      </c>
      <c r="AU9" s="57">
        <f t="shared" si="26"/>
        <v>5360</v>
      </c>
      <c r="AV9" s="57">
        <f t="shared" si="26"/>
        <v>11000</v>
      </c>
      <c r="AW9" s="57">
        <f t="shared" si="26"/>
        <v>46927</v>
      </c>
      <c r="AX9" s="57">
        <f t="shared" si="26"/>
        <v>119680</v>
      </c>
      <c r="AY9" s="57">
        <f t="shared" si="26"/>
        <v>22</v>
      </c>
      <c r="AZ9" s="57">
        <f t="shared" si="26"/>
        <v>50734</v>
      </c>
      <c r="BA9" s="57">
        <f t="shared" si="26"/>
        <v>35286</v>
      </c>
      <c r="BB9" s="57">
        <f t="shared" si="26"/>
        <v>0</v>
      </c>
      <c r="BC9" s="57">
        <f t="shared" si="26"/>
        <v>11660</v>
      </c>
      <c r="BD9" s="57">
        <f t="shared" si="26"/>
        <v>22000</v>
      </c>
      <c r="BE9" s="57">
        <f t="shared" si="26"/>
        <v>86020</v>
      </c>
      <c r="BF9" s="57">
        <f t="shared" si="26"/>
        <v>0</v>
      </c>
      <c r="BG9" s="57">
        <f t="shared" si="26"/>
        <v>0</v>
      </c>
      <c r="BH9" s="57">
        <f t="shared" si="26"/>
        <v>0</v>
      </c>
      <c r="BI9" s="57">
        <f t="shared" si="26"/>
        <v>0</v>
      </c>
      <c r="BJ9" s="57">
        <f t="shared" si="26"/>
        <v>0</v>
      </c>
      <c r="BK9" s="57">
        <f t="shared" si="26"/>
        <v>0</v>
      </c>
      <c r="BL9" s="57">
        <f t="shared" si="26"/>
        <v>0</v>
      </c>
      <c r="BM9" s="57">
        <f t="shared" si="26"/>
        <v>0</v>
      </c>
      <c r="BN9" s="57">
        <f t="shared" ref="BN9:CG9" si="27">SUM(BN8:BN8)</f>
        <v>0</v>
      </c>
      <c r="BO9" s="57">
        <f t="shared" si="27"/>
        <v>0</v>
      </c>
      <c r="BP9" s="57">
        <f t="shared" si="27"/>
        <v>0</v>
      </c>
      <c r="BQ9" s="57">
        <f t="shared" si="27"/>
        <v>0</v>
      </c>
      <c r="BR9" s="57">
        <f t="shared" si="27"/>
        <v>0</v>
      </c>
      <c r="BS9" s="57">
        <f t="shared" si="27"/>
        <v>0</v>
      </c>
      <c r="BT9" s="57">
        <f t="shared" si="27"/>
        <v>0</v>
      </c>
      <c r="BU9" s="57">
        <f t="shared" si="27"/>
        <v>52992</v>
      </c>
      <c r="BV9" s="57">
        <f t="shared" si="27"/>
        <v>10</v>
      </c>
      <c r="BW9" s="57">
        <f t="shared" si="27"/>
        <v>24821</v>
      </c>
      <c r="BX9" s="57">
        <f t="shared" si="27"/>
        <v>16031</v>
      </c>
      <c r="BY9" s="57">
        <f t="shared" si="27"/>
        <v>0</v>
      </c>
      <c r="BZ9" s="57">
        <f t="shared" si="27"/>
        <v>2140</v>
      </c>
      <c r="CA9" s="57">
        <f t="shared" si="27"/>
        <v>10000</v>
      </c>
      <c r="CB9" s="57">
        <f t="shared" si="27"/>
        <v>40912</v>
      </c>
      <c r="CC9" s="57">
        <f t="shared" si="27"/>
        <v>9</v>
      </c>
      <c r="CD9" s="57">
        <f t="shared" si="27"/>
        <v>6210</v>
      </c>
      <c r="CE9" s="57">
        <f t="shared" si="27"/>
        <v>0</v>
      </c>
      <c r="CF9" s="57">
        <f t="shared" si="27"/>
        <v>0</v>
      </c>
      <c r="CG9" s="57">
        <f t="shared" si="27"/>
        <v>0</v>
      </c>
      <c r="CH9" s="56"/>
    </row>
    <row r="10" spans="1:86" ht="24.95" customHeight="1">
      <c r="A10" s="58" t="s">
        <v>47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8"/>
    </row>
    <row r="11" spans="1:86">
      <c r="A11" s="53" t="s">
        <v>48</v>
      </c>
    </row>
    <row r="12" spans="1:86">
      <c r="A12" s="53" t="s">
        <v>49</v>
      </c>
    </row>
    <row r="13" spans="1:86">
      <c r="A13" s="53" t="s">
        <v>50</v>
      </c>
    </row>
    <row r="14" spans="1:86">
      <c r="A14" s="53" t="s">
        <v>51</v>
      </c>
    </row>
    <row r="15" spans="1:86">
      <c r="A15" s="53" t="s">
        <v>52</v>
      </c>
    </row>
  </sheetData>
  <mergeCells count="84">
    <mergeCell ref="A2:CB2"/>
    <mergeCell ref="B4:I4"/>
    <mergeCell ref="J4:Q4"/>
    <mergeCell ref="R4:Y4"/>
    <mergeCell ref="Z4:AG4"/>
    <mergeCell ref="AH4:AO4"/>
    <mergeCell ref="AP4:AW4"/>
    <mergeCell ref="AX4:BE4"/>
    <mergeCell ref="BF4:BL4"/>
    <mergeCell ref="BM4:CB4"/>
    <mergeCell ref="N5:N7"/>
    <mergeCell ref="CC4:CD4"/>
    <mergeCell ref="CE4:CG4"/>
    <mergeCell ref="A4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Z5:Z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AL5:AL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X5:AX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BJ5:BJ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CG5:CG7"/>
    <mergeCell ref="CH4:CH7"/>
    <mergeCell ref="BM5:BT6"/>
    <mergeCell ref="BU5:CB6"/>
    <mergeCell ref="BK5:BK7"/>
    <mergeCell ref="BL5:BL7"/>
    <mergeCell ref="CC5:CC7"/>
    <mergeCell ref="CD5:CD7"/>
    <mergeCell ref="CE5:CE7"/>
    <mergeCell ref="CF5:CF7"/>
  </mergeCells>
  <phoneticPr fontId="24" type="noConversion"/>
  <pageMargins left="0.2" right="0" top="0.55000000000000004" bottom="0.51" header="0.51" footer="0.51"/>
  <pageSetup paperSize="9" scale="6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3"/>
  <sheetViews>
    <sheetView showZeros="0" workbookViewId="0">
      <pane xSplit="2" ySplit="6" topLeftCell="C10" activePane="bottomRight" state="frozen"/>
      <selection pane="topRight"/>
      <selection pane="bottomLeft"/>
      <selection pane="bottomRight" activeCell="B32" sqref="B32"/>
    </sheetView>
  </sheetViews>
  <sheetFormatPr defaultColWidth="8.75" defaultRowHeight="14.25"/>
  <cols>
    <col min="1" max="1" width="8.75" style="4" hidden="1" customWidth="1"/>
    <col min="2" max="3" width="11.625" style="4" customWidth="1"/>
    <col min="4" max="4" width="10.125" style="4" customWidth="1"/>
    <col min="5" max="5" width="10.5" style="4" customWidth="1"/>
    <col min="6" max="6" width="13.75" style="4" customWidth="1"/>
    <col min="7" max="7" width="14.625" style="4" customWidth="1"/>
    <col min="8" max="8" width="8.75" style="4" hidden="1" customWidth="1"/>
    <col min="9" max="9" width="11.625" style="4" hidden="1" customWidth="1"/>
    <col min="10" max="12" width="9.5" style="4" hidden="1" customWidth="1"/>
    <col min="13" max="14" width="11.625" style="4" hidden="1" customWidth="1"/>
    <col min="15" max="15" width="8.75" style="4" hidden="1" customWidth="1"/>
    <col min="16" max="16" width="11.625" style="4" hidden="1" customWidth="1"/>
    <col min="17" max="32" width="9" style="4" bestFit="1" customWidth="1"/>
    <col min="33" max="16384" width="8.75" style="4"/>
  </cols>
  <sheetData>
    <row r="1" spans="1:15" ht="31.5">
      <c r="B1" s="92" t="s">
        <v>53</v>
      </c>
      <c r="C1" s="92"/>
      <c r="D1" s="92"/>
      <c r="E1" s="92"/>
      <c r="F1" s="92"/>
      <c r="G1" s="92"/>
    </row>
    <row r="2" spans="1:15">
      <c r="B2" s="8" t="s">
        <v>54</v>
      </c>
      <c r="C2" s="8"/>
      <c r="D2" s="34"/>
      <c r="E2" s="34"/>
      <c r="F2" s="93"/>
      <c r="G2" s="93"/>
    </row>
    <row r="3" spans="1:15" ht="27.75" customHeight="1">
      <c r="B3" s="97" t="s">
        <v>3</v>
      </c>
      <c r="C3" s="94" t="s">
        <v>55</v>
      </c>
      <c r="D3" s="95"/>
      <c r="E3" s="95"/>
      <c r="F3" s="95"/>
      <c r="G3" s="96"/>
    </row>
    <row r="4" spans="1:15" ht="24" customHeight="1">
      <c r="B4" s="97"/>
      <c r="C4" s="98" t="s">
        <v>56</v>
      </c>
      <c r="D4" s="101" t="s">
        <v>57</v>
      </c>
      <c r="E4" s="101" t="s">
        <v>58</v>
      </c>
      <c r="F4" s="102" t="s">
        <v>59</v>
      </c>
      <c r="G4" s="101" t="s">
        <v>60</v>
      </c>
    </row>
    <row r="5" spans="1:15" ht="9.75" customHeight="1">
      <c r="B5" s="97"/>
      <c r="C5" s="99"/>
      <c r="D5" s="101"/>
      <c r="E5" s="101"/>
      <c r="F5" s="103"/>
      <c r="G5" s="101"/>
    </row>
    <row r="6" spans="1:15" ht="15" customHeight="1">
      <c r="B6" s="97"/>
      <c r="C6" s="100"/>
      <c r="D6" s="101"/>
      <c r="E6" s="101"/>
      <c r="F6" s="104"/>
      <c r="G6" s="101"/>
    </row>
    <row r="7" spans="1:15" ht="18.75" customHeight="1">
      <c r="A7" s="4">
        <v>1</v>
      </c>
      <c r="B7" s="35" t="s">
        <v>61</v>
      </c>
      <c r="C7" s="36">
        <f>D7+E7+F7</f>
        <v>0</v>
      </c>
      <c r="D7" s="37"/>
      <c r="E7" s="37"/>
      <c r="F7" s="37"/>
      <c r="G7" s="37"/>
      <c r="H7" s="4" t="e">
        <f t="shared" ref="H7:H28" si="0">#REF!+#REF!+(#REF!-#REF!)/2</f>
        <v>#REF!</v>
      </c>
      <c r="I7" s="51" t="e">
        <f>#REF!+#REF!+#REF!+#REF!+#REF!</f>
        <v>#REF!</v>
      </c>
      <c r="J7" s="51" t="e">
        <f>#REF!</f>
        <v>#REF!</v>
      </c>
      <c r="K7" s="51" t="e">
        <f>#REF!+#REF!+#REF!+#REF!</f>
        <v>#REF!</v>
      </c>
      <c r="L7" s="51" t="e">
        <f>#REF!</f>
        <v>#REF!</v>
      </c>
      <c r="M7" s="51" t="e">
        <f>SUM(I7:L7)</f>
        <v>#REF!</v>
      </c>
      <c r="N7" s="51" t="e">
        <f>#REF!+#REF!</f>
        <v>#REF!</v>
      </c>
      <c r="O7" s="4" t="e">
        <f>N7+M7/2</f>
        <v>#REF!</v>
      </c>
    </row>
    <row r="8" spans="1:15" ht="18.75" customHeight="1">
      <c r="A8" s="4">
        <v>2</v>
      </c>
      <c r="B8" s="38" t="s">
        <v>62</v>
      </c>
      <c r="C8" s="36">
        <f t="shared" ref="C8:C29" si="1">D8+E8+F8</f>
        <v>0</v>
      </c>
      <c r="D8" s="37"/>
      <c r="E8" s="37"/>
      <c r="F8" s="37"/>
      <c r="G8" s="37"/>
      <c r="H8" s="4" t="e">
        <f t="shared" si="0"/>
        <v>#REF!</v>
      </c>
    </row>
    <row r="9" spans="1:15" ht="18.75" customHeight="1">
      <c r="A9" s="4">
        <v>4</v>
      </c>
      <c r="B9" s="39" t="s">
        <v>63</v>
      </c>
      <c r="C9" s="36">
        <f t="shared" si="1"/>
        <v>0</v>
      </c>
      <c r="D9" s="37"/>
      <c r="E9" s="37"/>
      <c r="F9" s="37"/>
      <c r="G9" s="37"/>
      <c r="H9" s="4" t="e">
        <f t="shared" si="0"/>
        <v>#REF!</v>
      </c>
    </row>
    <row r="10" spans="1:15" ht="18.75" customHeight="1">
      <c r="A10" s="4">
        <v>5</v>
      </c>
      <c r="B10" s="35" t="s">
        <v>64</v>
      </c>
      <c r="C10" s="36">
        <f t="shared" si="1"/>
        <v>0</v>
      </c>
      <c r="D10" s="37"/>
      <c r="E10" s="37"/>
      <c r="F10" s="37"/>
      <c r="G10" s="37"/>
      <c r="H10" s="4" t="e">
        <f t="shared" si="0"/>
        <v>#REF!</v>
      </c>
      <c r="I10" s="51" t="e">
        <f>#REF!+#REF!+#REF!+#REF!+#REF!</f>
        <v>#REF!</v>
      </c>
      <c r="J10" s="51" t="e">
        <f>#REF!</f>
        <v>#REF!</v>
      </c>
      <c r="K10" s="51" t="e">
        <f>#REF!+#REF!+#REF!+#REF!</f>
        <v>#REF!</v>
      </c>
      <c r="L10" s="51" t="e">
        <f>#REF!</f>
        <v>#REF!</v>
      </c>
      <c r="M10" s="51" t="e">
        <f>SUM(I10:L10)</f>
        <v>#REF!</v>
      </c>
      <c r="N10" s="51" t="e">
        <f>#REF!+#REF!</f>
        <v>#REF!</v>
      </c>
      <c r="O10" s="4" t="e">
        <f>N10+M10/2</f>
        <v>#REF!</v>
      </c>
    </row>
    <row r="11" spans="1:15" ht="18.75" customHeight="1">
      <c r="A11" s="4">
        <v>6</v>
      </c>
      <c r="B11" s="40" t="s">
        <v>65</v>
      </c>
      <c r="C11" s="36">
        <f t="shared" si="1"/>
        <v>0</v>
      </c>
      <c r="D11" s="37"/>
      <c r="E11" s="37"/>
      <c r="F11" s="37"/>
      <c r="G11" s="37"/>
      <c r="H11" s="4" t="e">
        <f t="shared" si="0"/>
        <v>#REF!</v>
      </c>
      <c r="I11" s="51" t="e">
        <f>#REF!+#REF!+#REF!+#REF!+#REF!</f>
        <v>#REF!</v>
      </c>
      <c r="J11" s="51" t="e">
        <f>#REF!</f>
        <v>#REF!</v>
      </c>
      <c r="K11" s="51" t="e">
        <f>#REF!+#REF!+#REF!+#REF!</f>
        <v>#REF!</v>
      </c>
      <c r="L11" s="51" t="e">
        <f>#REF!</f>
        <v>#REF!</v>
      </c>
      <c r="M11" s="51" t="e">
        <f>SUM(I11:L11)</f>
        <v>#REF!</v>
      </c>
      <c r="N11" s="51" t="e">
        <f>#REF!+#REF!</f>
        <v>#REF!</v>
      </c>
      <c r="O11" s="4" t="e">
        <f>N11+M11/2</f>
        <v>#REF!</v>
      </c>
    </row>
    <row r="12" spans="1:15" ht="18.75" customHeight="1">
      <c r="A12" s="4">
        <v>7</v>
      </c>
      <c r="B12" s="35" t="s">
        <v>66</v>
      </c>
      <c r="C12" s="36">
        <f t="shared" si="1"/>
        <v>0</v>
      </c>
      <c r="D12" s="37"/>
      <c r="E12" s="37"/>
      <c r="F12" s="37"/>
      <c r="G12" s="37"/>
      <c r="H12" s="4" t="e">
        <f t="shared" si="0"/>
        <v>#REF!</v>
      </c>
    </row>
    <row r="13" spans="1:15" ht="18.75" customHeight="1">
      <c r="A13" s="4">
        <v>9</v>
      </c>
      <c r="B13" s="35" t="s">
        <v>67</v>
      </c>
      <c r="C13" s="36">
        <f t="shared" si="1"/>
        <v>0</v>
      </c>
      <c r="D13" s="37"/>
      <c r="E13" s="37"/>
      <c r="F13" s="37"/>
      <c r="G13" s="37"/>
      <c r="H13" s="4" t="e">
        <f t="shared" si="0"/>
        <v>#REF!</v>
      </c>
    </row>
    <row r="14" spans="1:15" ht="18.75" customHeight="1">
      <c r="A14" s="4">
        <v>8</v>
      </c>
      <c r="B14" s="41" t="s">
        <v>68</v>
      </c>
      <c r="C14" s="36">
        <f t="shared" si="1"/>
        <v>0</v>
      </c>
      <c r="D14" s="37"/>
      <c r="E14" s="37"/>
      <c r="F14" s="37"/>
      <c r="G14" s="37"/>
      <c r="H14" s="4" t="e">
        <f t="shared" si="0"/>
        <v>#REF!</v>
      </c>
    </row>
    <row r="15" spans="1:15" ht="18.75" customHeight="1">
      <c r="A15" s="4">
        <v>10</v>
      </c>
      <c r="B15" s="42" t="s">
        <v>69</v>
      </c>
      <c r="C15" s="36">
        <f t="shared" si="1"/>
        <v>0</v>
      </c>
      <c r="D15" s="37"/>
      <c r="E15" s="37"/>
      <c r="F15" s="37"/>
      <c r="G15" s="37"/>
      <c r="H15" s="4" t="e">
        <f t="shared" si="0"/>
        <v>#REF!</v>
      </c>
    </row>
    <row r="16" spans="1:15" ht="18.75" customHeight="1">
      <c r="A16" s="4">
        <v>11</v>
      </c>
      <c r="B16" s="43" t="s">
        <v>70</v>
      </c>
      <c r="C16" s="36">
        <f t="shared" si="1"/>
        <v>0</v>
      </c>
      <c r="D16" s="37"/>
      <c r="E16" s="37"/>
      <c r="F16" s="37"/>
      <c r="G16" s="37"/>
      <c r="H16" s="4" t="e">
        <f t="shared" si="0"/>
        <v>#REF!</v>
      </c>
    </row>
    <row r="17" spans="1:16" ht="18.75" customHeight="1">
      <c r="A17" s="4">
        <v>12</v>
      </c>
      <c r="B17" s="44" t="s">
        <v>71</v>
      </c>
      <c r="C17" s="36">
        <f t="shared" si="1"/>
        <v>0</v>
      </c>
      <c r="D17" s="37"/>
      <c r="E17" s="37"/>
      <c r="F17" s="37"/>
      <c r="G17" s="37"/>
      <c r="H17" s="4" t="e">
        <f t="shared" si="0"/>
        <v>#REF!</v>
      </c>
      <c r="I17" s="51" t="e">
        <f>#REF!+#REF!+#REF!+#REF!+#REF!</f>
        <v>#REF!</v>
      </c>
      <c r="J17" s="51" t="e">
        <f>#REF!</f>
        <v>#REF!</v>
      </c>
      <c r="K17" s="51" t="e">
        <f>#REF!+#REF!+#REF!+#REF!</f>
        <v>#REF!</v>
      </c>
      <c r="L17" s="51" t="e">
        <f>#REF!</f>
        <v>#REF!</v>
      </c>
      <c r="M17" s="51" t="e">
        <f>SUM(I17:L17)</f>
        <v>#REF!</v>
      </c>
      <c r="N17" s="51" t="e">
        <f>#REF!+#REF!</f>
        <v>#REF!</v>
      </c>
      <c r="O17" s="4" t="e">
        <f>N17+M17/2</f>
        <v>#REF!</v>
      </c>
      <c r="P17" s="51"/>
    </row>
    <row r="18" spans="1:16" ht="18.75" customHeight="1">
      <c r="A18" s="4">
        <v>13</v>
      </c>
      <c r="B18" s="45" t="s">
        <v>72</v>
      </c>
      <c r="C18" s="36">
        <f t="shared" si="1"/>
        <v>0</v>
      </c>
      <c r="D18" s="37"/>
      <c r="E18" s="37"/>
      <c r="F18" s="37"/>
      <c r="G18" s="37"/>
      <c r="H18" s="4" t="e">
        <f t="shared" si="0"/>
        <v>#REF!</v>
      </c>
      <c r="I18" s="51" t="e">
        <f>#REF!+#REF!+#REF!+#REF!+#REF!</f>
        <v>#REF!</v>
      </c>
      <c r="J18" s="51" t="e">
        <f>#REF!</f>
        <v>#REF!</v>
      </c>
      <c r="K18" s="51" t="e">
        <f>#REF!+#REF!+#REF!+#REF!</f>
        <v>#REF!</v>
      </c>
      <c r="L18" s="51" t="e">
        <f>#REF!</f>
        <v>#REF!</v>
      </c>
      <c r="M18" s="51" t="e">
        <f>SUM(I18:L18)</f>
        <v>#REF!</v>
      </c>
      <c r="N18" s="51" t="e">
        <f>#REF!+#REF!</f>
        <v>#REF!</v>
      </c>
      <c r="O18" s="4" t="e">
        <f>N18+M18/2</f>
        <v>#REF!</v>
      </c>
    </row>
    <row r="19" spans="1:16" ht="18.75" customHeight="1">
      <c r="A19" s="4">
        <v>14</v>
      </c>
      <c r="B19" s="46" t="s">
        <v>73</v>
      </c>
      <c r="C19" s="36">
        <f t="shared" si="1"/>
        <v>0</v>
      </c>
      <c r="D19" s="37"/>
      <c r="E19" s="37"/>
      <c r="F19" s="37"/>
      <c r="G19" s="37"/>
      <c r="H19" s="4" t="e">
        <f t="shared" si="0"/>
        <v>#REF!</v>
      </c>
    </row>
    <row r="20" spans="1:16" ht="18.75" customHeight="1">
      <c r="A20" s="4">
        <v>15</v>
      </c>
      <c r="B20" s="47" t="s">
        <v>74</v>
      </c>
      <c r="C20" s="36">
        <f t="shared" si="1"/>
        <v>0</v>
      </c>
      <c r="D20" s="37"/>
      <c r="E20" s="37"/>
      <c r="F20" s="37"/>
      <c r="G20" s="37"/>
      <c r="H20" s="4" t="e">
        <f t="shared" si="0"/>
        <v>#REF!</v>
      </c>
    </row>
    <row r="21" spans="1:16" ht="18.75" customHeight="1">
      <c r="A21" s="4">
        <v>16</v>
      </c>
      <c r="B21" s="35" t="s">
        <v>75</v>
      </c>
      <c r="C21" s="36">
        <f t="shared" si="1"/>
        <v>0</v>
      </c>
      <c r="D21" s="37"/>
      <c r="E21" s="37"/>
      <c r="F21" s="37"/>
      <c r="G21" s="37"/>
      <c r="H21" s="4" t="e">
        <f t="shared" si="0"/>
        <v>#REF!</v>
      </c>
    </row>
    <row r="22" spans="1:16" ht="18.75" customHeight="1">
      <c r="A22" s="4">
        <v>17</v>
      </c>
      <c r="B22" s="35" t="s">
        <v>76</v>
      </c>
      <c r="C22" s="36">
        <f t="shared" si="1"/>
        <v>0</v>
      </c>
      <c r="D22" s="37"/>
      <c r="E22" s="37"/>
      <c r="F22" s="37"/>
      <c r="G22" s="37"/>
      <c r="H22" s="4" t="e">
        <f t="shared" si="0"/>
        <v>#REF!</v>
      </c>
    </row>
    <row r="23" spans="1:16" ht="18.75" customHeight="1">
      <c r="A23" s="4">
        <v>18</v>
      </c>
      <c r="B23" s="48" t="s">
        <v>77</v>
      </c>
      <c r="C23" s="36">
        <f t="shared" si="1"/>
        <v>0</v>
      </c>
      <c r="D23" s="37"/>
      <c r="E23" s="37"/>
      <c r="F23" s="37"/>
      <c r="G23" s="37"/>
      <c r="H23" s="4" t="e">
        <f t="shared" si="0"/>
        <v>#REF!</v>
      </c>
    </row>
    <row r="24" spans="1:16" ht="18.75" customHeight="1">
      <c r="A24" s="4">
        <v>19</v>
      </c>
      <c r="B24" s="49" t="s">
        <v>78</v>
      </c>
      <c r="C24" s="36">
        <f t="shared" si="1"/>
        <v>0</v>
      </c>
      <c r="D24" s="37"/>
      <c r="E24" s="37"/>
      <c r="F24" s="37"/>
      <c r="G24" s="37"/>
      <c r="H24" s="4" t="e">
        <f t="shared" si="0"/>
        <v>#REF!</v>
      </c>
      <c r="I24" s="51" t="e">
        <f>#REF!+#REF!+#REF!+#REF!+#REF!</f>
        <v>#REF!</v>
      </c>
      <c r="J24" s="51" t="e">
        <f>#REF!</f>
        <v>#REF!</v>
      </c>
      <c r="K24" s="51" t="e">
        <f>#REF!+#REF!+#REF!+#REF!</f>
        <v>#REF!</v>
      </c>
      <c r="L24" s="51" t="e">
        <f>#REF!</f>
        <v>#REF!</v>
      </c>
      <c r="M24" s="51" t="e">
        <f>SUM(I24:L24)</f>
        <v>#REF!</v>
      </c>
      <c r="N24" s="51" t="e">
        <f>#REF!+#REF!</f>
        <v>#REF!</v>
      </c>
      <c r="O24" s="4" t="e">
        <f>N24+M24/2</f>
        <v>#REF!</v>
      </c>
    </row>
    <row r="25" spans="1:16" ht="18.75" customHeight="1">
      <c r="A25" s="4">
        <v>3</v>
      </c>
      <c r="B25" s="35" t="s">
        <v>79</v>
      </c>
      <c r="C25" s="36">
        <f t="shared" si="1"/>
        <v>0</v>
      </c>
      <c r="D25" s="37"/>
      <c r="E25" s="37"/>
      <c r="F25" s="37"/>
      <c r="G25" s="37"/>
      <c r="H25" s="4" t="e">
        <f t="shared" si="0"/>
        <v>#REF!</v>
      </c>
      <c r="I25" s="51" t="e">
        <f>#REF!+#REF!+#REF!+#REF!+#REF!</f>
        <v>#REF!</v>
      </c>
      <c r="J25" s="51" t="e">
        <f>#REF!</f>
        <v>#REF!</v>
      </c>
      <c r="K25" s="51" t="e">
        <f>#REF!+#REF!+#REF!+#REF!</f>
        <v>#REF!</v>
      </c>
      <c r="L25" s="51" t="e">
        <f>#REF!</f>
        <v>#REF!</v>
      </c>
      <c r="M25" s="51" t="e">
        <f>SUM(I25:L25)</f>
        <v>#REF!</v>
      </c>
      <c r="N25" s="51" t="e">
        <f>#REF!+#REF!</f>
        <v>#REF!</v>
      </c>
      <c r="O25" s="4" t="e">
        <f>N25+M25/2</f>
        <v>#REF!</v>
      </c>
    </row>
    <row r="26" spans="1:16" ht="18.75" customHeight="1">
      <c r="A26" s="4">
        <v>20</v>
      </c>
      <c r="B26" s="35" t="s">
        <v>80</v>
      </c>
      <c r="C26" s="36">
        <f t="shared" si="1"/>
        <v>0</v>
      </c>
      <c r="D26" s="37"/>
      <c r="E26" s="37"/>
      <c r="F26" s="37"/>
      <c r="G26" s="37"/>
      <c r="H26" s="4" t="e">
        <f t="shared" si="0"/>
        <v>#REF!</v>
      </c>
    </row>
    <row r="27" spans="1:16" ht="18.75" customHeight="1">
      <c r="A27" s="4">
        <v>21</v>
      </c>
      <c r="B27" s="35" t="s">
        <v>81</v>
      </c>
      <c r="C27" s="36">
        <f t="shared" si="1"/>
        <v>0</v>
      </c>
      <c r="D27" s="37"/>
      <c r="E27" s="37"/>
      <c r="F27" s="37"/>
      <c r="G27" s="37"/>
      <c r="H27" s="4" t="e">
        <f t="shared" si="0"/>
        <v>#REF!</v>
      </c>
      <c r="I27" s="51" t="e">
        <f>#REF!+#REF!+#REF!+#REF!+#REF!</f>
        <v>#REF!</v>
      </c>
      <c r="J27" s="51" t="e">
        <f>#REF!</f>
        <v>#REF!</v>
      </c>
      <c r="K27" s="51" t="e">
        <f>#REF!+#REF!+#REF!+#REF!</f>
        <v>#REF!</v>
      </c>
      <c r="L27" s="51" t="e">
        <f>#REF!</f>
        <v>#REF!</v>
      </c>
      <c r="M27" s="51" t="e">
        <f>SUM(I27:L27)</f>
        <v>#REF!</v>
      </c>
      <c r="N27" s="51" t="e">
        <f>#REF!+#REF!</f>
        <v>#REF!</v>
      </c>
      <c r="O27" s="4" t="e">
        <f>N27+M27/2</f>
        <v>#REF!</v>
      </c>
    </row>
    <row r="28" spans="1:16" ht="18.75" customHeight="1">
      <c r="A28" s="4">
        <v>22</v>
      </c>
      <c r="B28" s="35" t="s">
        <v>82</v>
      </c>
      <c r="C28" s="36">
        <f t="shared" si="1"/>
        <v>0</v>
      </c>
      <c r="D28" s="37"/>
      <c r="E28" s="37"/>
      <c r="F28" s="37"/>
      <c r="G28" s="37"/>
      <c r="H28" s="4" t="e">
        <f t="shared" si="0"/>
        <v>#REF!</v>
      </c>
    </row>
    <row r="29" spans="1:16" ht="18.75" customHeight="1">
      <c r="B29" s="50" t="s">
        <v>24</v>
      </c>
      <c r="C29" s="36">
        <f t="shared" si="1"/>
        <v>0</v>
      </c>
      <c r="D29" s="37">
        <f>SUM(D7:D28)</f>
        <v>0</v>
      </c>
      <c r="E29" s="37">
        <f>SUM(E7:E28)</f>
        <v>0</v>
      </c>
      <c r="F29" s="37">
        <f>SUM(F7:F28)</f>
        <v>0</v>
      </c>
      <c r="G29" s="37">
        <f>SUM(G7:G28)</f>
        <v>0</v>
      </c>
      <c r="J29" s="4">
        <v>1480361</v>
      </c>
    </row>
    <row r="30" spans="1:16">
      <c r="D30" s="51"/>
    </row>
    <row r="32" spans="1:16">
      <c r="B32" s="52" t="s">
        <v>83</v>
      </c>
      <c r="C32" s="52"/>
    </row>
    <row r="35" spans="9:9">
      <c r="I35" s="4">
        <v>1181604</v>
      </c>
    </row>
    <row r="36" spans="9:9">
      <c r="I36" s="4">
        <v>375918</v>
      </c>
    </row>
    <row r="37" spans="9:9">
      <c r="I37" s="4">
        <v>75600</v>
      </c>
    </row>
    <row r="38" spans="9:9">
      <c r="I38" s="4">
        <v>167669</v>
      </c>
    </row>
    <row r="39" spans="9:9">
      <c r="I39" s="4">
        <v>272000</v>
      </c>
    </row>
    <row r="40" spans="9:9">
      <c r="I40" s="4">
        <v>183283</v>
      </c>
    </row>
    <row r="41" spans="9:9">
      <c r="I41" s="4">
        <v>930560</v>
      </c>
    </row>
    <row r="42" spans="9:9">
      <c r="I42" s="4">
        <v>46666</v>
      </c>
    </row>
    <row r="43" spans="9:9">
      <c r="I43" s="4">
        <f>SUM(I35:I42)</f>
        <v>3233300</v>
      </c>
    </row>
  </sheetData>
  <mergeCells count="9">
    <mergeCell ref="B1:G1"/>
    <mergeCell ref="F2:G2"/>
    <mergeCell ref="C3:G3"/>
    <mergeCell ref="B3:B6"/>
    <mergeCell ref="C4:C6"/>
    <mergeCell ref="D4:D6"/>
    <mergeCell ref="E4:E6"/>
    <mergeCell ref="F4:F6"/>
    <mergeCell ref="G4:G6"/>
  </mergeCells>
  <phoneticPr fontId="24" type="noConversion"/>
  <pageMargins left="0.2" right="0" top="0.98" bottom="0.98" header="0.51" footer="0.51"/>
  <pageSetup paperSize="9" scale="7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Z12"/>
  <sheetViews>
    <sheetView showZeros="0" workbookViewId="0">
      <pane xSplit="1" ySplit="7" topLeftCell="B8" activePane="bottomRight" state="frozen"/>
      <selection pane="topRight"/>
      <selection pane="bottomLeft"/>
      <selection pane="bottomRight" activeCell="V8" sqref="V8"/>
    </sheetView>
  </sheetViews>
  <sheetFormatPr defaultColWidth="8.75" defaultRowHeight="14.25"/>
  <cols>
    <col min="1" max="1" width="8.125" style="4" customWidth="1"/>
    <col min="2" max="2" width="5.875" style="4" customWidth="1"/>
    <col min="3" max="3" width="6" style="4" customWidth="1"/>
    <col min="4" max="4" width="5.375" style="4" customWidth="1"/>
    <col min="5" max="5" width="6.375" style="4" customWidth="1"/>
    <col min="6" max="6" width="6" style="4" customWidth="1"/>
    <col min="7" max="7" width="6.25" style="4" customWidth="1"/>
    <col min="8" max="9" width="6.875" style="4" customWidth="1"/>
    <col min="10" max="10" width="7.375" style="4" customWidth="1"/>
    <col min="11" max="11" width="7.5" style="4" customWidth="1"/>
    <col min="12" max="12" width="7.875" style="4" customWidth="1"/>
    <col min="13" max="13" width="8.125" style="4" customWidth="1"/>
    <col min="14" max="14" width="7.125" style="4" customWidth="1"/>
    <col min="15" max="15" width="8.125" style="4" customWidth="1"/>
    <col min="16" max="16" width="7" style="4" customWidth="1"/>
    <col min="17" max="19" width="6.875" style="4" customWidth="1"/>
    <col min="20" max="20" width="5.75" style="4" customWidth="1"/>
    <col min="21" max="21" width="5.625" style="4" customWidth="1"/>
    <col min="22" max="22" width="6.25" style="4" customWidth="1"/>
    <col min="23" max="23" width="5.625" style="4" customWidth="1"/>
    <col min="24" max="24" width="5.5" style="4" customWidth="1"/>
    <col min="25" max="25" width="4.5" style="4" customWidth="1"/>
    <col min="26" max="26" width="4.25" style="4" customWidth="1"/>
    <col min="27" max="27" width="4.75" style="4" customWidth="1"/>
    <col min="28" max="28" width="5.125" style="4" customWidth="1"/>
    <col min="29" max="29" width="6" style="4" customWidth="1"/>
    <col min="30" max="30" width="4.625" style="4" customWidth="1"/>
    <col min="31" max="31" width="5.25" style="4" customWidth="1"/>
    <col min="32" max="32" width="5" style="4" customWidth="1"/>
    <col min="33" max="33" width="4.625" style="4" customWidth="1"/>
    <col min="34" max="34" width="4.75" style="4" customWidth="1"/>
    <col min="35" max="35" width="5.125" style="4" customWidth="1"/>
    <col min="36" max="36" width="5" style="4" customWidth="1"/>
    <col min="37" max="37" width="4.625" style="4" customWidth="1"/>
    <col min="38" max="38" width="5" style="4" customWidth="1"/>
    <col min="39" max="39" width="4.5" style="4" customWidth="1"/>
    <col min="40" max="40" width="4.625" style="4" customWidth="1"/>
    <col min="41" max="41" width="4.375" style="4" customWidth="1"/>
    <col min="42" max="42" width="7.25" style="4" customWidth="1"/>
    <col min="43" max="43" width="7.75" style="4" customWidth="1"/>
    <col min="44" max="44" width="4.5" style="4" customWidth="1"/>
    <col min="45" max="45" width="6.125" style="4" customWidth="1"/>
    <col min="46" max="46" width="5.875" style="4" customWidth="1"/>
    <col min="47" max="47" width="3.875" style="4" customWidth="1"/>
    <col min="48" max="52" width="4.625" style="4" customWidth="1"/>
    <col min="53" max="61" width="9" style="4" bestFit="1" customWidth="1"/>
    <col min="62" max="16384" width="8.75" style="4"/>
  </cols>
  <sheetData>
    <row r="1" spans="1:52">
      <c r="A1" s="26" t="s">
        <v>84</v>
      </c>
    </row>
    <row r="2" spans="1:52" ht="26.25" customHeight="1">
      <c r="A2" s="114" t="s">
        <v>85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</row>
    <row r="3" spans="1:52" ht="18.75" customHeight="1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</row>
    <row r="4" spans="1:52" ht="23.25" customHeight="1">
      <c r="A4" s="113" t="s">
        <v>3</v>
      </c>
      <c r="B4" s="115" t="s">
        <v>5</v>
      </c>
      <c r="C4" s="115"/>
      <c r="D4" s="116" t="s">
        <v>86</v>
      </c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8"/>
      <c r="T4" s="116" t="s">
        <v>6</v>
      </c>
      <c r="U4" s="118"/>
      <c r="V4" s="115" t="s">
        <v>87</v>
      </c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9" t="s">
        <v>88</v>
      </c>
      <c r="AQ4" s="120"/>
      <c r="AR4" s="121" t="s">
        <v>89</v>
      </c>
      <c r="AS4" s="122"/>
      <c r="AT4" s="123"/>
      <c r="AU4" s="105" t="s">
        <v>11</v>
      </c>
      <c r="AV4" s="112" t="s">
        <v>90</v>
      </c>
      <c r="AW4" s="112"/>
      <c r="AX4" s="112"/>
      <c r="AY4" s="112"/>
      <c r="AZ4" s="112"/>
    </row>
    <row r="5" spans="1:52" ht="14.25" customHeight="1">
      <c r="A5" s="113"/>
      <c r="B5" s="111" t="s">
        <v>91</v>
      </c>
      <c r="C5" s="111" t="s">
        <v>92</v>
      </c>
      <c r="D5" s="111" t="s">
        <v>41</v>
      </c>
      <c r="E5" s="111"/>
      <c r="F5" s="111" t="s">
        <v>93</v>
      </c>
      <c r="G5" s="111"/>
      <c r="H5" s="111" t="s">
        <v>94</v>
      </c>
      <c r="I5" s="111"/>
      <c r="J5" s="111" t="s">
        <v>95</v>
      </c>
      <c r="K5" s="111"/>
      <c r="L5" s="111" t="s">
        <v>96</v>
      </c>
      <c r="M5" s="111"/>
      <c r="N5" s="108" t="s">
        <v>97</v>
      </c>
      <c r="O5" s="124"/>
      <c r="P5" s="111" t="s">
        <v>98</v>
      </c>
      <c r="Q5" s="111"/>
      <c r="R5" s="111" t="s">
        <v>99</v>
      </c>
      <c r="S5" s="111"/>
      <c r="T5" s="105" t="s">
        <v>91</v>
      </c>
      <c r="U5" s="111" t="s">
        <v>92</v>
      </c>
      <c r="V5" s="105" t="s">
        <v>24</v>
      </c>
      <c r="W5" s="105" t="s">
        <v>100</v>
      </c>
      <c r="X5" s="105" t="s">
        <v>101</v>
      </c>
      <c r="Y5" s="105" t="s">
        <v>102</v>
      </c>
      <c r="Z5" s="108" t="s">
        <v>103</v>
      </c>
      <c r="AA5" s="108" t="s">
        <v>104</v>
      </c>
      <c r="AB5" s="108" t="s">
        <v>105</v>
      </c>
      <c r="AC5" s="108" t="s">
        <v>106</v>
      </c>
      <c r="AD5" s="111" t="s">
        <v>107</v>
      </c>
      <c r="AE5" s="111"/>
      <c r="AF5" s="111"/>
      <c r="AG5" s="108" t="s">
        <v>108</v>
      </c>
      <c r="AH5" s="108" t="s">
        <v>109</v>
      </c>
      <c r="AI5" s="108" t="s">
        <v>110</v>
      </c>
      <c r="AJ5" s="108" t="s">
        <v>111</v>
      </c>
      <c r="AK5" s="108" t="s">
        <v>112</v>
      </c>
      <c r="AL5" s="108" t="s">
        <v>113</v>
      </c>
      <c r="AM5" s="108" t="s">
        <v>114</v>
      </c>
      <c r="AN5" s="108" t="s">
        <v>115</v>
      </c>
      <c r="AO5" s="108" t="s">
        <v>116</v>
      </c>
      <c r="AP5" s="108" t="s">
        <v>117</v>
      </c>
      <c r="AQ5" s="108" t="s">
        <v>118</v>
      </c>
      <c r="AR5" s="105" t="s">
        <v>41</v>
      </c>
      <c r="AS5" s="105" t="s">
        <v>119</v>
      </c>
      <c r="AT5" s="105" t="s">
        <v>120</v>
      </c>
      <c r="AU5" s="106"/>
      <c r="AV5" s="105" t="s">
        <v>41</v>
      </c>
      <c r="AW5" s="105" t="s">
        <v>121</v>
      </c>
      <c r="AX5" s="105" t="s">
        <v>13</v>
      </c>
      <c r="AY5" s="105" t="s">
        <v>122</v>
      </c>
      <c r="AZ5" s="105" t="s">
        <v>123</v>
      </c>
    </row>
    <row r="6" spans="1:52">
      <c r="A6" s="113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0"/>
      <c r="O6" s="125"/>
      <c r="P6" s="111"/>
      <c r="Q6" s="111"/>
      <c r="R6" s="111"/>
      <c r="S6" s="111"/>
      <c r="T6" s="106"/>
      <c r="U6" s="111"/>
      <c r="V6" s="106"/>
      <c r="W6" s="106"/>
      <c r="X6" s="106"/>
      <c r="Y6" s="106"/>
      <c r="Z6" s="109"/>
      <c r="AA6" s="109"/>
      <c r="AB6" s="109"/>
      <c r="AC6" s="109"/>
      <c r="AD6" s="111"/>
      <c r="AE6" s="111"/>
      <c r="AF6" s="111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6"/>
      <c r="AS6" s="106"/>
      <c r="AT6" s="106"/>
      <c r="AU6" s="106"/>
      <c r="AV6" s="106"/>
      <c r="AW6" s="106"/>
      <c r="AX6" s="106"/>
      <c r="AY6" s="106"/>
      <c r="AZ6" s="106"/>
    </row>
    <row r="7" spans="1:52" ht="56.25" customHeight="1">
      <c r="A7" s="113"/>
      <c r="B7" s="111"/>
      <c r="C7" s="111"/>
      <c r="D7" s="29" t="s">
        <v>91</v>
      </c>
      <c r="E7" s="29" t="s">
        <v>92</v>
      </c>
      <c r="F7" s="29" t="s">
        <v>91</v>
      </c>
      <c r="G7" s="29" t="s">
        <v>92</v>
      </c>
      <c r="H7" s="29" t="s">
        <v>91</v>
      </c>
      <c r="I7" s="29" t="s">
        <v>92</v>
      </c>
      <c r="J7" s="29" t="s">
        <v>91</v>
      </c>
      <c r="K7" s="29" t="s">
        <v>92</v>
      </c>
      <c r="L7" s="29" t="s">
        <v>91</v>
      </c>
      <c r="M7" s="29" t="s">
        <v>92</v>
      </c>
      <c r="N7" s="29" t="s">
        <v>91</v>
      </c>
      <c r="O7" s="29" t="s">
        <v>92</v>
      </c>
      <c r="P7" s="29" t="s">
        <v>91</v>
      </c>
      <c r="Q7" s="29" t="s">
        <v>92</v>
      </c>
      <c r="R7" s="29" t="s">
        <v>91</v>
      </c>
      <c r="S7" s="29" t="s">
        <v>92</v>
      </c>
      <c r="T7" s="107"/>
      <c r="U7" s="111"/>
      <c r="V7" s="107"/>
      <c r="W7" s="107"/>
      <c r="X7" s="107"/>
      <c r="Y7" s="107"/>
      <c r="Z7" s="110"/>
      <c r="AA7" s="110"/>
      <c r="AB7" s="110"/>
      <c r="AC7" s="110"/>
      <c r="AD7" s="29" t="s">
        <v>41</v>
      </c>
      <c r="AE7" s="29" t="s">
        <v>124</v>
      </c>
      <c r="AF7" s="29" t="s">
        <v>125</v>
      </c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07"/>
      <c r="AS7" s="107"/>
      <c r="AT7" s="107"/>
      <c r="AU7" s="107"/>
      <c r="AV7" s="107"/>
      <c r="AW7" s="107"/>
      <c r="AX7" s="107"/>
      <c r="AY7" s="107"/>
      <c r="AZ7" s="107"/>
    </row>
    <row r="8" spans="1:52" s="25" customFormat="1">
      <c r="A8" s="32" t="s">
        <v>46</v>
      </c>
      <c r="B8" s="32"/>
      <c r="C8" s="32">
        <v>22</v>
      </c>
      <c r="D8" s="30">
        <f t="shared" ref="D8" si="0">+F8+H8+J8+L8+N8+P8+R8</f>
        <v>38</v>
      </c>
      <c r="E8" s="31">
        <f t="shared" ref="E8" si="1">G8+I8+K8+M8+O8+Q8+S8</f>
        <v>34</v>
      </c>
      <c r="F8" s="32"/>
      <c r="G8" s="32"/>
      <c r="H8" s="32"/>
      <c r="I8" s="32"/>
      <c r="J8" s="32"/>
      <c r="K8" s="32"/>
      <c r="L8" s="32">
        <v>10</v>
      </c>
      <c r="M8" s="32">
        <v>9</v>
      </c>
      <c r="N8" s="32">
        <v>26</v>
      </c>
      <c r="O8" s="32">
        <v>24</v>
      </c>
      <c r="P8" s="32">
        <v>2</v>
      </c>
      <c r="Q8" s="32">
        <v>1</v>
      </c>
      <c r="R8" s="32"/>
      <c r="S8" s="32"/>
      <c r="T8" s="32">
        <v>16</v>
      </c>
      <c r="U8" s="32">
        <v>14</v>
      </c>
      <c r="V8" s="30">
        <f t="shared" ref="V8" si="2">+W8+X8+Y8+Z8+AA8+AB8+AC8+AD8+AG8+AH8+AI8+AJ8+AK8+AL8+AM8+AN8+AO8</f>
        <v>21</v>
      </c>
      <c r="W8" s="30">
        <f t="shared" ref="W8" si="3">AO8</f>
        <v>0</v>
      </c>
      <c r="X8" s="33"/>
      <c r="Y8" s="30">
        <v>7</v>
      </c>
      <c r="Z8" s="30">
        <v>1</v>
      </c>
      <c r="AA8" s="33"/>
      <c r="AB8" s="33">
        <v>1</v>
      </c>
      <c r="AC8" s="33">
        <v>1</v>
      </c>
      <c r="AD8" s="33">
        <f t="shared" ref="AD8" si="4">AE8+AF8</f>
        <v>0</v>
      </c>
      <c r="AE8" s="32"/>
      <c r="AF8" s="32"/>
      <c r="AG8" s="33">
        <v>1</v>
      </c>
      <c r="AH8" s="33">
        <v>3</v>
      </c>
      <c r="AI8" s="33">
        <v>1</v>
      </c>
      <c r="AJ8" s="33">
        <v>1</v>
      </c>
      <c r="AK8" s="33"/>
      <c r="AL8" s="33">
        <v>1</v>
      </c>
      <c r="AM8" s="33"/>
      <c r="AN8" s="33">
        <v>4</v>
      </c>
      <c r="AO8" s="33"/>
      <c r="AP8" s="33">
        <v>22</v>
      </c>
      <c r="AQ8" s="33"/>
      <c r="AR8" s="33">
        <f t="shared" ref="AR8" si="5">AS8+AT8</f>
        <v>0</v>
      </c>
      <c r="AS8" s="33"/>
      <c r="AT8" s="33"/>
      <c r="AU8" s="32"/>
      <c r="AV8" s="32">
        <f t="shared" ref="AV8" si="6">AW8+AX8+AY8+AZ8</f>
        <v>9</v>
      </c>
      <c r="AW8" s="32"/>
      <c r="AX8" s="32">
        <v>9</v>
      </c>
      <c r="AY8" s="32"/>
      <c r="AZ8" s="32"/>
    </row>
    <row r="9" spans="1:52" s="25" customFormat="1">
      <c r="A9" s="32" t="s">
        <v>24</v>
      </c>
      <c r="B9" s="32">
        <f t="shared" ref="B9:Q9" si="7">SUM(B8:B8)</f>
        <v>0</v>
      </c>
      <c r="C9" s="32">
        <f t="shared" si="7"/>
        <v>22</v>
      </c>
      <c r="D9" s="32">
        <f t="shared" si="7"/>
        <v>38</v>
      </c>
      <c r="E9" s="32">
        <f t="shared" si="7"/>
        <v>34</v>
      </c>
      <c r="F9" s="32">
        <f t="shared" si="7"/>
        <v>0</v>
      </c>
      <c r="G9" s="32">
        <f t="shared" si="7"/>
        <v>0</v>
      </c>
      <c r="H9" s="32">
        <f t="shared" si="7"/>
        <v>0</v>
      </c>
      <c r="I9" s="32">
        <f t="shared" si="7"/>
        <v>0</v>
      </c>
      <c r="J9" s="32">
        <f t="shared" si="7"/>
        <v>0</v>
      </c>
      <c r="K9" s="32">
        <f t="shared" si="7"/>
        <v>0</v>
      </c>
      <c r="L9" s="32">
        <f t="shared" si="7"/>
        <v>10</v>
      </c>
      <c r="M9" s="32">
        <f t="shared" si="7"/>
        <v>9</v>
      </c>
      <c r="N9" s="32">
        <f t="shared" si="7"/>
        <v>26</v>
      </c>
      <c r="O9" s="32">
        <f t="shared" si="7"/>
        <v>24</v>
      </c>
      <c r="P9" s="32">
        <f t="shared" si="7"/>
        <v>2</v>
      </c>
      <c r="Q9" s="32">
        <f t="shared" si="7"/>
        <v>1</v>
      </c>
      <c r="R9" s="32"/>
      <c r="S9" s="32"/>
      <c r="T9" s="32">
        <f>SUM(T8:T8)</f>
        <v>16</v>
      </c>
      <c r="U9" s="32">
        <f>SUM(U8:U8)</f>
        <v>14</v>
      </c>
      <c r="V9" s="32">
        <f>SUM(V8:V8)</f>
        <v>21</v>
      </c>
      <c r="W9" s="30">
        <f>AO9</f>
        <v>0</v>
      </c>
      <c r="X9" s="32">
        <f t="shared" ref="X9:AZ9" si="8">SUM(X8:X8)</f>
        <v>0</v>
      </c>
      <c r="Y9" s="32">
        <f t="shared" si="8"/>
        <v>7</v>
      </c>
      <c r="Z9" s="32">
        <f t="shared" si="8"/>
        <v>1</v>
      </c>
      <c r="AA9" s="32">
        <f t="shared" si="8"/>
        <v>0</v>
      </c>
      <c r="AB9" s="32">
        <f t="shared" si="8"/>
        <v>1</v>
      </c>
      <c r="AC9" s="32">
        <f t="shared" si="8"/>
        <v>1</v>
      </c>
      <c r="AD9" s="32">
        <f t="shared" si="8"/>
        <v>0</v>
      </c>
      <c r="AE9" s="32">
        <f t="shared" si="8"/>
        <v>0</v>
      </c>
      <c r="AF9" s="32">
        <f t="shared" si="8"/>
        <v>0</v>
      </c>
      <c r="AG9" s="32">
        <f t="shared" si="8"/>
        <v>1</v>
      </c>
      <c r="AH9" s="32">
        <f t="shared" si="8"/>
        <v>3</v>
      </c>
      <c r="AI9" s="32">
        <f t="shared" si="8"/>
        <v>1</v>
      </c>
      <c r="AJ9" s="32">
        <f t="shared" si="8"/>
        <v>1</v>
      </c>
      <c r="AK9" s="32">
        <f t="shared" si="8"/>
        <v>0</v>
      </c>
      <c r="AL9" s="32">
        <f t="shared" si="8"/>
        <v>1</v>
      </c>
      <c r="AM9" s="32">
        <f t="shared" si="8"/>
        <v>0</v>
      </c>
      <c r="AN9" s="32">
        <f t="shared" si="8"/>
        <v>4</v>
      </c>
      <c r="AO9" s="32">
        <f t="shared" si="8"/>
        <v>0</v>
      </c>
      <c r="AP9" s="32">
        <f t="shared" si="8"/>
        <v>22</v>
      </c>
      <c r="AQ9" s="32">
        <f t="shared" si="8"/>
        <v>0</v>
      </c>
      <c r="AR9" s="32">
        <f t="shared" si="8"/>
        <v>0</v>
      </c>
      <c r="AS9" s="32">
        <f t="shared" si="8"/>
        <v>0</v>
      </c>
      <c r="AT9" s="32">
        <f t="shared" si="8"/>
        <v>0</v>
      </c>
      <c r="AU9" s="32">
        <f t="shared" si="8"/>
        <v>0</v>
      </c>
      <c r="AV9" s="32">
        <f t="shared" si="8"/>
        <v>9</v>
      </c>
      <c r="AW9" s="32">
        <f t="shared" si="8"/>
        <v>0</v>
      </c>
      <c r="AX9" s="32">
        <f t="shared" si="8"/>
        <v>9</v>
      </c>
      <c r="AY9" s="32">
        <f t="shared" si="8"/>
        <v>0</v>
      </c>
      <c r="AZ9" s="32">
        <f t="shared" si="8"/>
        <v>0</v>
      </c>
    </row>
    <row r="12" spans="1:52">
      <c r="E12" s="4">
        <f>C8+E8+U8+V8+AP8</f>
        <v>113</v>
      </c>
    </row>
  </sheetData>
  <mergeCells count="50">
    <mergeCell ref="A2:AU2"/>
    <mergeCell ref="B4:C4"/>
    <mergeCell ref="D4:S4"/>
    <mergeCell ref="T4:U4"/>
    <mergeCell ref="V4:AO4"/>
    <mergeCell ref="AP4:AQ4"/>
    <mergeCell ref="AR4:AT4"/>
    <mergeCell ref="AU4:AU7"/>
    <mergeCell ref="N5:O6"/>
    <mergeCell ref="P5:Q6"/>
    <mergeCell ref="L5:M6"/>
    <mergeCell ref="AO5:AO7"/>
    <mergeCell ref="AP5:AP7"/>
    <mergeCell ref="AQ5:AQ7"/>
    <mergeCell ref="AR5:AR7"/>
    <mergeCell ref="AS5:AS7"/>
    <mergeCell ref="AV4:AZ4"/>
    <mergeCell ref="A4:A7"/>
    <mergeCell ref="B5:B7"/>
    <mergeCell ref="C5:C7"/>
    <mergeCell ref="T5:T7"/>
    <mergeCell ref="U5:U7"/>
    <mergeCell ref="V5:V7"/>
    <mergeCell ref="W5:W7"/>
    <mergeCell ref="X5:X7"/>
    <mergeCell ref="Y5:Y7"/>
    <mergeCell ref="AY5:AY7"/>
    <mergeCell ref="AZ5:AZ7"/>
    <mergeCell ref="D5:E6"/>
    <mergeCell ref="F5:G6"/>
    <mergeCell ref="H5:I6"/>
    <mergeCell ref="J5:K6"/>
    <mergeCell ref="AI5:AI7"/>
    <mergeCell ref="AJ5:AJ7"/>
    <mergeCell ref="AK5:AK7"/>
    <mergeCell ref="R5:S6"/>
    <mergeCell ref="AD5:AF6"/>
    <mergeCell ref="Z5:Z7"/>
    <mergeCell ref="AA5:AA7"/>
    <mergeCell ref="AB5:AB7"/>
    <mergeCell ref="AC5:AC7"/>
    <mergeCell ref="AG5:AG7"/>
    <mergeCell ref="AH5:AH7"/>
    <mergeCell ref="AV5:AV7"/>
    <mergeCell ref="AW5:AW7"/>
    <mergeCell ref="AX5:AX7"/>
    <mergeCell ref="AL5:AL7"/>
    <mergeCell ref="AM5:AM7"/>
    <mergeCell ref="AN5:AN7"/>
    <mergeCell ref="AT5:AT7"/>
  </mergeCells>
  <phoneticPr fontId="24" type="noConversion"/>
  <pageMargins left="0.45" right="0" top="0.98" bottom="0.98" header="0.51" footer="0.51"/>
  <pageSetup paperSize="9"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0"/>
  <sheetViews>
    <sheetView showZeros="0" workbookViewId="0">
      <pane xSplit="1" ySplit="1" topLeftCell="B2" activePane="bottomRight" state="frozen"/>
      <selection pane="topRight"/>
      <selection pane="bottomLeft"/>
      <selection pane="bottomRight" activeCell="L14" sqref="L14"/>
    </sheetView>
  </sheetViews>
  <sheetFormatPr defaultColWidth="8.75" defaultRowHeight="14.25"/>
  <cols>
    <col min="1" max="1" width="8.75" style="3"/>
    <col min="2" max="2" width="7" style="3" customWidth="1"/>
    <col min="3" max="3" width="8.25" style="3" customWidth="1"/>
    <col min="4" max="4" width="10" style="3" customWidth="1"/>
    <col min="5" max="5" width="6.375" style="3" customWidth="1"/>
    <col min="6" max="6" width="9.625" style="3" customWidth="1"/>
    <col min="7" max="7" width="5.375" style="3" customWidth="1"/>
    <col min="8" max="9" width="8.75" style="3"/>
    <col min="10" max="10" width="8.5" style="3" customWidth="1"/>
    <col min="11" max="11" width="6.875" style="3" customWidth="1"/>
    <col min="12" max="12" width="8.375" style="3" customWidth="1"/>
    <col min="13" max="13" width="7.375" style="3" customWidth="1"/>
    <col min="14" max="14" width="9.25" style="3" customWidth="1"/>
    <col min="15" max="15" width="9.125" style="3" customWidth="1"/>
    <col min="16" max="16" width="9.25" style="3" customWidth="1"/>
    <col min="17" max="17" width="9.125" style="3" customWidth="1"/>
    <col min="18" max="19" width="9.5" style="3" customWidth="1"/>
    <col min="20" max="20" width="9.625" style="3" customWidth="1"/>
    <col min="21" max="21" width="7.625" style="3" customWidth="1"/>
    <col min="22" max="22" width="6" style="3" customWidth="1"/>
    <col min="23" max="23" width="6.375" style="3" customWidth="1"/>
    <col min="24" max="16384" width="8.75" style="3"/>
  </cols>
  <sheetData>
    <row r="1" spans="1:23" s="16" customFormat="1">
      <c r="A1" s="17" t="s">
        <v>126</v>
      </c>
    </row>
    <row r="2" spans="1:23" ht="22.5" customHeight="1">
      <c r="A2" s="137" t="s">
        <v>127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</row>
    <row r="3" spans="1:23" ht="21" customHeight="1">
      <c r="A3" s="19" t="s">
        <v>2</v>
      </c>
      <c r="B3" s="19"/>
      <c r="C3" s="18"/>
      <c r="D3" s="18"/>
      <c r="E3" s="18"/>
      <c r="F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38" t="s">
        <v>128</v>
      </c>
      <c r="U3" s="138"/>
    </row>
    <row r="4" spans="1:23" ht="44.25" customHeight="1">
      <c r="A4" s="146" t="s">
        <v>3</v>
      </c>
      <c r="B4" s="139" t="s">
        <v>129</v>
      </c>
      <c r="C4" s="139"/>
      <c r="D4" s="140" t="s">
        <v>130</v>
      </c>
      <c r="E4" s="141"/>
      <c r="F4" s="142"/>
      <c r="G4" s="126" t="s">
        <v>28</v>
      </c>
      <c r="H4" s="126" t="s">
        <v>29</v>
      </c>
      <c r="I4" s="126" t="s">
        <v>131</v>
      </c>
      <c r="J4" s="130" t="s">
        <v>132</v>
      </c>
      <c r="K4" s="130" t="s">
        <v>133</v>
      </c>
      <c r="L4" s="140" t="s">
        <v>134</v>
      </c>
      <c r="M4" s="141"/>
      <c r="N4" s="142"/>
      <c r="O4" s="143" t="s">
        <v>135</v>
      </c>
      <c r="P4" s="144"/>
      <c r="Q4" s="144"/>
      <c r="R4" s="144"/>
      <c r="S4" s="144"/>
      <c r="T4" s="145"/>
      <c r="U4" s="126" t="s">
        <v>136</v>
      </c>
      <c r="V4" s="126" t="s">
        <v>137</v>
      </c>
      <c r="W4" s="126" t="s">
        <v>138</v>
      </c>
    </row>
    <row r="5" spans="1:23" ht="14.25" customHeight="1">
      <c r="A5" s="146"/>
      <c r="B5" s="130" t="s">
        <v>139</v>
      </c>
      <c r="C5" s="129" t="s">
        <v>140</v>
      </c>
      <c r="D5" s="129" t="s">
        <v>141</v>
      </c>
      <c r="E5" s="129" t="s">
        <v>142</v>
      </c>
      <c r="F5" s="129"/>
      <c r="G5" s="127"/>
      <c r="H5" s="127"/>
      <c r="I5" s="127"/>
      <c r="J5" s="131"/>
      <c r="K5" s="131"/>
      <c r="L5" s="129" t="s">
        <v>141</v>
      </c>
      <c r="M5" s="129" t="s">
        <v>142</v>
      </c>
      <c r="N5" s="129"/>
      <c r="O5" s="130" t="s">
        <v>24</v>
      </c>
      <c r="P5" s="129" t="s">
        <v>143</v>
      </c>
      <c r="Q5" s="132" t="s">
        <v>144</v>
      </c>
      <c r="R5" s="129" t="s">
        <v>145</v>
      </c>
      <c r="S5" s="130" t="s">
        <v>146</v>
      </c>
      <c r="T5" s="129" t="s">
        <v>147</v>
      </c>
      <c r="U5" s="127"/>
      <c r="V5" s="127"/>
      <c r="W5" s="127"/>
    </row>
    <row r="6" spans="1:23">
      <c r="A6" s="146"/>
      <c r="B6" s="131"/>
      <c r="C6" s="129"/>
      <c r="D6" s="136"/>
      <c r="E6" s="129"/>
      <c r="F6" s="129"/>
      <c r="G6" s="127"/>
      <c r="H6" s="127"/>
      <c r="I6" s="127"/>
      <c r="J6" s="131"/>
      <c r="K6" s="131"/>
      <c r="L6" s="136"/>
      <c r="M6" s="129"/>
      <c r="N6" s="129"/>
      <c r="O6" s="131"/>
      <c r="P6" s="129"/>
      <c r="Q6" s="133"/>
      <c r="R6" s="129"/>
      <c r="S6" s="131"/>
      <c r="T6" s="129"/>
      <c r="U6" s="127"/>
      <c r="V6" s="127"/>
      <c r="W6" s="127"/>
    </row>
    <row r="7" spans="1:23" ht="57">
      <c r="A7" s="147"/>
      <c r="B7" s="131"/>
      <c r="C7" s="130"/>
      <c r="D7" s="136"/>
      <c r="E7" s="21" t="s">
        <v>38</v>
      </c>
      <c r="F7" s="21" t="s">
        <v>39</v>
      </c>
      <c r="G7" s="128"/>
      <c r="H7" s="128"/>
      <c r="I7" s="128"/>
      <c r="J7" s="135"/>
      <c r="K7" s="135"/>
      <c r="L7" s="136"/>
      <c r="M7" s="21" t="s">
        <v>38</v>
      </c>
      <c r="N7" s="21" t="s">
        <v>39</v>
      </c>
      <c r="O7" s="131"/>
      <c r="P7" s="130"/>
      <c r="Q7" s="134"/>
      <c r="R7" s="130"/>
      <c r="S7" s="131"/>
      <c r="T7" s="130"/>
      <c r="U7" s="128"/>
      <c r="V7" s="128"/>
      <c r="W7" s="128"/>
    </row>
    <row r="8" spans="1:23" ht="24.75" customHeight="1">
      <c r="A8" s="20" t="s">
        <v>46</v>
      </c>
      <c r="B8" s="22">
        <v>7000</v>
      </c>
      <c r="C8" s="22">
        <f>('人员工资数据表 '!C8+'人员工资数据表 '!AA8)*基础数据计算表!B8+'人员工资数据表 '!BN8*基础数据计算表!B8*0.8+'人员工资数据表 '!BV8*基础数据计算表!B8*0.6</f>
        <v>763000</v>
      </c>
      <c r="D8" s="22">
        <f>+'人员工资数据表 '!D8*13+'人员工资数据表 '!E8*12+'人员工资数据表 '!AB8*12+'人员工资数据表 '!AC8*12+1000*'人员工资数据表 '!AA8</f>
        <v>5992709</v>
      </c>
      <c r="E8" s="22">
        <f>+('人员工资数据表 '!BO8+'人员工资数据表 '!BP8)*12+1000*'人员工资数据表 '!BN8</f>
        <v>0</v>
      </c>
      <c r="F8" s="22">
        <f>+('人员工资数据表 '!BW8+'人员工资数据表 '!BX8)*12+1000*'人员工资数据表 '!BV8</f>
        <v>500224</v>
      </c>
      <c r="G8" s="22">
        <f>+('人员工资数据表 '!F8+'人员工资数据表 '!AD8)*12+'人员工资数据表 '!BQ8*12*0.8+'人员工资数据表 '!BY8*12*0.6</f>
        <v>0</v>
      </c>
      <c r="H8" s="22">
        <f>+'人员工资数据表 '!G8*12+'人员工资数据表 '!AE8*12+'人员工资数据表 '!BR8*12*0.8+'人员工资数据表 '!BZ8*12*0.6</f>
        <v>694008</v>
      </c>
      <c r="I8" s="22">
        <f>'人员工资数据表 '!H8*12+'人员工资数据表 '!AF8*12+'人员工资数据表 '!BS8*12*0.8+'人员工资数据表 '!CA8*0.6*12</f>
        <v>1308000</v>
      </c>
      <c r="J8" s="22">
        <f t="shared" ref="J8:J9" si="0">(+D8*0.025+E8*0.025*0.8+F8*0.025*0.6)+G8*0.025</f>
        <v>157321.08499999999</v>
      </c>
      <c r="K8" s="22">
        <f>(+D8*0.02+E8*0.02*0.8+F8*0.02*0.6)+G8*0.02</f>
        <v>125856.868</v>
      </c>
      <c r="L8" s="22">
        <f>'人员工资数据表 '!I8*12+'人员工资数据表 '!AG8*12</f>
        <v>5930160</v>
      </c>
      <c r="M8" s="22">
        <f>'人员工资数据表 '!BT8*12</f>
        <v>0</v>
      </c>
      <c r="N8" s="22">
        <f>'人员工资数据表 '!CB8*12</f>
        <v>490944</v>
      </c>
      <c r="O8" s="22">
        <f t="shared" ref="O8:O9" si="1">P8+R8+S8+T8+Q8</f>
        <v>1630878.3167999999</v>
      </c>
      <c r="P8" s="22">
        <f t="shared" ref="P8:P9" si="2">L8*0.16+M8*0.16*0.8+N8*0.6*0.16</f>
        <v>995956.22399999993</v>
      </c>
      <c r="Q8" s="22">
        <f t="shared" ref="Q8:Q9" si="3">L8*0.08+M8*0.8*0.08+N8*0.6*0.08</f>
        <v>497978.11199999996</v>
      </c>
      <c r="R8" s="22">
        <f t="shared" ref="R8:R9" si="4">L8*0.007+M8*0.8*0.007+N8*0.6*0.007</f>
        <v>43573.084800000004</v>
      </c>
      <c r="S8" s="22">
        <f t="shared" ref="S8:S9" si="5">+L8*0.005+M8*0.005*0.8+N8*0.005*0.6</f>
        <v>31123.631999999998</v>
      </c>
      <c r="T8" s="22">
        <f t="shared" ref="T8:T9" si="6">L8*0.01+M8*0.01*0.8+N8*0.01*0.6</f>
        <v>62247.263999999996</v>
      </c>
      <c r="U8" s="22">
        <f t="shared" ref="U8:U9" si="7">(+D8*0.12+E8*0.12*0.8+F8*0.12*0.6)+(G8+H8+I8)*0.12</f>
        <v>995382.16799999995</v>
      </c>
      <c r="V8" s="22">
        <f>+'人员工资数据表 '!BF8*12+'人员工资数据表 '!CH8*800</f>
        <v>36000</v>
      </c>
      <c r="W8" s="22">
        <f>+('人员工资数据表 '!CD8+'人员工资数据表 '!CE8)*12</f>
        <v>74520</v>
      </c>
    </row>
    <row r="9" spans="1:23">
      <c r="A9" s="20" t="s">
        <v>24</v>
      </c>
      <c r="B9" s="22"/>
      <c r="C9" s="22">
        <f>('人员工资数据表 '!C9+'人员工资数据表 '!AA9)*基础数据计算表!B9+'人员工资数据表 '!BN9*基础数据计算表!B9*0.8+'人员工资数据表 '!BV9*基础数据计算表!B9*0.6</f>
        <v>0</v>
      </c>
      <c r="D9" s="22">
        <f>+'人员工资数据表 '!D9*13+'人员工资数据表 '!E9*12+'人员工资数据表 '!AB9*12+'人员工资数据表 '!AC9*12+1000*'人员工资数据表 '!AA9</f>
        <v>5992709</v>
      </c>
      <c r="E9" s="22">
        <f>+('人员工资数据表 '!BO9+'人员工资数据表 '!BP9)*12+1000*'人员工资数据表 '!BN9</f>
        <v>0</v>
      </c>
      <c r="F9" s="22">
        <f>+('人员工资数据表 '!BW9+'人员工资数据表 '!BX9)*12+1000*'人员工资数据表 '!BV9</f>
        <v>500224</v>
      </c>
      <c r="G9" s="22">
        <f>+('人员工资数据表 '!F9+'人员工资数据表 '!AD9)*12+'人员工资数据表 '!BQ9*12*0.8+'人员工资数据表 '!BY9*12*0.6</f>
        <v>0</v>
      </c>
      <c r="H9" s="22">
        <f>+'人员工资数据表 '!G9*12+'人员工资数据表 '!AE9*12+'人员工资数据表 '!BR9*12*0.8+'人员工资数据表 '!BZ9*12*0.6</f>
        <v>694008</v>
      </c>
      <c r="I9" s="22">
        <f>'人员工资数据表 '!H9*12+'人员工资数据表 '!AF9*12+'人员工资数据表 '!BS9*12*0.8+'人员工资数据表 '!CA9*0.6*12</f>
        <v>1308000</v>
      </c>
      <c r="J9" s="22">
        <f t="shared" si="0"/>
        <v>157321.08499999999</v>
      </c>
      <c r="K9" s="22">
        <f>(+D9*0.02+E9*0.02*0.8+F9*0.02*0.6)+G9*0.02</f>
        <v>125856.868</v>
      </c>
      <c r="L9" s="22">
        <f>'人员工资数据表 '!I9*12+'人员工资数据表 '!AG9*12</f>
        <v>5930160</v>
      </c>
      <c r="M9" s="22">
        <f>'人员工资数据表 '!BT9*12</f>
        <v>0</v>
      </c>
      <c r="N9" s="22">
        <f>'人员工资数据表 '!CB9*12</f>
        <v>490944</v>
      </c>
      <c r="O9" s="22">
        <f t="shared" si="1"/>
        <v>1630878.3167999999</v>
      </c>
      <c r="P9" s="22">
        <f t="shared" si="2"/>
        <v>995956.22399999993</v>
      </c>
      <c r="Q9" s="22">
        <f t="shared" si="3"/>
        <v>497978.11199999996</v>
      </c>
      <c r="R9" s="22">
        <f t="shared" si="4"/>
        <v>43573.084800000004</v>
      </c>
      <c r="S9" s="22">
        <f t="shared" si="5"/>
        <v>31123.631999999998</v>
      </c>
      <c r="T9" s="22">
        <f t="shared" si="6"/>
        <v>62247.263999999996</v>
      </c>
      <c r="U9" s="22">
        <f t="shared" si="7"/>
        <v>995382.16799999995</v>
      </c>
      <c r="V9" s="22">
        <f>+'人员工资数据表 '!BF9*12+'人员工资数据表 '!CH9*800</f>
        <v>0</v>
      </c>
      <c r="W9" s="22">
        <f>+('人员工资数据表 '!CD9+'人员工资数据表 '!CE9)*12</f>
        <v>74520</v>
      </c>
    </row>
    <row r="10" spans="1:23">
      <c r="P10" s="24"/>
      <c r="Q10" s="24"/>
      <c r="R10" s="24"/>
      <c r="S10" s="24"/>
      <c r="T10" s="24"/>
      <c r="U10" s="24"/>
    </row>
  </sheetData>
  <mergeCells count="27">
    <mergeCell ref="A2:U2"/>
    <mergeCell ref="T3:U3"/>
    <mergeCell ref="B4:C4"/>
    <mergeCell ref="D4:F4"/>
    <mergeCell ref="L4:N4"/>
    <mergeCell ref="O4:T4"/>
    <mergeCell ref="A4:A7"/>
    <mergeCell ref="B5:B7"/>
    <mergeCell ref="C5:C7"/>
    <mergeCell ref="D5:D7"/>
    <mergeCell ref="U4:U7"/>
    <mergeCell ref="V4:V7"/>
    <mergeCell ref="W4:W7"/>
    <mergeCell ref="E5:F6"/>
    <mergeCell ref="M5:N6"/>
    <mergeCell ref="O5:O7"/>
    <mergeCell ref="P5:P7"/>
    <mergeCell ref="Q5:Q7"/>
    <mergeCell ref="R5:R7"/>
    <mergeCell ref="S5:S7"/>
    <mergeCell ref="T5:T7"/>
    <mergeCell ref="G4:G7"/>
    <mergeCell ref="H4:H7"/>
    <mergeCell ref="I4:I7"/>
    <mergeCell ref="J4:J7"/>
    <mergeCell ref="K4:K7"/>
    <mergeCell ref="L5:L7"/>
  </mergeCells>
  <phoneticPr fontId="24" type="noConversion"/>
  <pageMargins left="0.19685039370078741" right="0" top="0.98425196850393704" bottom="0.98425196850393704" header="0.51181102362204722" footer="0.51181102362204722"/>
  <pageSetup paperSize="9" scale="14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G10"/>
  <sheetViews>
    <sheetView showZeros="0" tabSelected="1" workbookViewId="0">
      <pane xSplit="2" ySplit="8" topLeftCell="C9" activePane="bottomRight" state="frozen"/>
      <selection pane="topRight"/>
      <selection pane="bottomLeft"/>
      <selection pane="bottomRight" activeCell="C4" sqref="C4:AG4"/>
    </sheetView>
  </sheetViews>
  <sheetFormatPr defaultColWidth="8.75" defaultRowHeight="18.75"/>
  <cols>
    <col min="1" max="1" width="5.625" style="4" hidden="1" customWidth="1"/>
    <col min="2" max="2" width="7.5" style="5" customWidth="1"/>
    <col min="3" max="3" width="12.5" style="4" customWidth="1"/>
    <col min="4" max="4" width="10.25" style="4" customWidth="1"/>
    <col min="5" max="5" width="9.75" style="4" customWidth="1"/>
    <col min="6" max="6" width="8.75" style="4" customWidth="1"/>
    <col min="7" max="7" width="8.875" style="4" customWidth="1"/>
    <col min="8" max="8" width="8" style="4" customWidth="1"/>
    <col min="9" max="9" width="8.125" style="4" customWidth="1"/>
    <col min="10" max="10" width="5.625" style="4" customWidth="1"/>
    <col min="11" max="11" width="10.125" style="4" customWidth="1"/>
    <col min="12" max="13" width="9.875" style="4" customWidth="1"/>
    <col min="14" max="15" width="9.125" style="4" customWidth="1"/>
    <col min="16" max="17" width="4.75" style="4" customWidth="1"/>
    <col min="18" max="19" width="9.125" style="4" customWidth="1"/>
    <col min="20" max="21" width="8.5" style="4" customWidth="1"/>
    <col min="22" max="22" width="8.625" style="4" customWidth="1"/>
    <col min="23" max="23" width="7.5" style="4" customWidth="1"/>
    <col min="24" max="24" width="8.5" style="4" customWidth="1"/>
    <col min="25" max="25" width="9.25" style="4" customWidth="1"/>
    <col min="26" max="26" width="10.5" style="4" customWidth="1"/>
    <col min="27" max="27" width="9.625" style="4" customWidth="1"/>
    <col min="28" max="28" width="8.375" style="4" customWidth="1"/>
    <col min="29" max="29" width="6.625" style="4" customWidth="1"/>
    <col min="30" max="30" width="8.25" style="4" customWidth="1"/>
    <col min="31" max="31" width="7.5" style="4" customWidth="1"/>
    <col min="32" max="32" width="7.25" style="4" customWidth="1"/>
    <col min="33" max="33" width="6.625" style="4" customWidth="1"/>
    <col min="34" max="53" width="9" style="4" bestFit="1" customWidth="1"/>
    <col min="54" max="16384" width="8.75" style="4"/>
  </cols>
  <sheetData>
    <row r="1" spans="1:33" ht="14.25">
      <c r="B1" s="6" t="s">
        <v>148</v>
      </c>
    </row>
    <row r="2" spans="1:33" ht="49.5" customHeight="1">
      <c r="B2" s="159" t="s">
        <v>149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</row>
    <row r="3" spans="1:33" ht="27" customHeight="1">
      <c r="B3" s="7" t="s">
        <v>54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14" t="s">
        <v>128</v>
      </c>
      <c r="AG3" s="15"/>
    </row>
    <row r="4" spans="1:33" s="1" customFormat="1" ht="32.25" customHeight="1">
      <c r="B4" s="153"/>
      <c r="C4" s="160" t="s">
        <v>150</v>
      </c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</row>
    <row r="5" spans="1:33" s="1" customFormat="1" ht="24.75" customHeight="1">
      <c r="B5" s="154"/>
      <c r="C5" s="148" t="s">
        <v>151</v>
      </c>
      <c r="D5" s="156" t="s">
        <v>152</v>
      </c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8"/>
      <c r="Z5" s="151" t="s">
        <v>153</v>
      </c>
      <c r="AA5" s="162"/>
      <c r="AB5" s="162"/>
      <c r="AC5" s="162"/>
      <c r="AD5" s="162"/>
      <c r="AE5" s="163" t="s">
        <v>154</v>
      </c>
      <c r="AF5" s="164"/>
      <c r="AG5" s="164"/>
    </row>
    <row r="6" spans="1:33" s="1" customFormat="1" ht="30" customHeight="1">
      <c r="B6" s="154"/>
      <c r="C6" s="149"/>
      <c r="D6" s="153" t="s">
        <v>155</v>
      </c>
      <c r="E6" s="165" t="s">
        <v>156</v>
      </c>
      <c r="F6" s="166"/>
      <c r="G6" s="166"/>
      <c r="H6" s="166"/>
      <c r="I6" s="166"/>
      <c r="J6" s="167"/>
      <c r="K6" s="165" t="s">
        <v>157</v>
      </c>
      <c r="L6" s="166"/>
      <c r="M6" s="166"/>
      <c r="N6" s="166"/>
      <c r="O6" s="166"/>
      <c r="P6" s="167"/>
      <c r="Q6" s="153" t="s">
        <v>28</v>
      </c>
      <c r="R6" s="153" t="s">
        <v>131</v>
      </c>
      <c r="S6" s="151" t="s">
        <v>158</v>
      </c>
      <c r="T6" s="151"/>
      <c r="U6" s="151"/>
      <c r="V6" s="151"/>
      <c r="W6" s="151"/>
      <c r="X6" s="151"/>
      <c r="Y6" s="148" t="s">
        <v>136</v>
      </c>
      <c r="Z6" s="148" t="s">
        <v>159</v>
      </c>
      <c r="AA6" s="148" t="s">
        <v>160</v>
      </c>
      <c r="AB6" s="148" t="s">
        <v>29</v>
      </c>
      <c r="AC6" s="148" t="s">
        <v>161</v>
      </c>
      <c r="AD6" s="148" t="s">
        <v>162</v>
      </c>
      <c r="AE6" s="148" t="s">
        <v>41</v>
      </c>
      <c r="AF6" s="148" t="s">
        <v>137</v>
      </c>
      <c r="AG6" s="148" t="s">
        <v>138</v>
      </c>
    </row>
    <row r="7" spans="1:33" s="1" customFormat="1" ht="35.25" customHeight="1">
      <c r="B7" s="154"/>
      <c r="C7" s="149"/>
      <c r="D7" s="154"/>
      <c r="E7" s="152" t="s">
        <v>163</v>
      </c>
      <c r="F7" s="152" t="s">
        <v>164</v>
      </c>
      <c r="G7" s="148" t="s">
        <v>165</v>
      </c>
      <c r="H7" s="156" t="s">
        <v>166</v>
      </c>
      <c r="I7" s="157"/>
      <c r="J7" s="158"/>
      <c r="K7" s="152" t="s">
        <v>163</v>
      </c>
      <c r="L7" s="152" t="s">
        <v>164</v>
      </c>
      <c r="M7" s="148" t="s">
        <v>165</v>
      </c>
      <c r="N7" s="156" t="s">
        <v>166</v>
      </c>
      <c r="O7" s="157"/>
      <c r="P7" s="158"/>
      <c r="Q7" s="154"/>
      <c r="R7" s="154"/>
      <c r="S7" s="152" t="s">
        <v>163</v>
      </c>
      <c r="T7" s="152" t="s">
        <v>143</v>
      </c>
      <c r="U7" s="152" t="s">
        <v>144</v>
      </c>
      <c r="V7" s="151" t="s">
        <v>145</v>
      </c>
      <c r="W7" s="151" t="s">
        <v>147</v>
      </c>
      <c r="X7" s="151" t="s">
        <v>146</v>
      </c>
      <c r="Y7" s="149"/>
      <c r="Z7" s="149"/>
      <c r="AA7" s="149"/>
      <c r="AB7" s="149"/>
      <c r="AC7" s="149"/>
      <c r="AD7" s="149"/>
      <c r="AE7" s="149"/>
      <c r="AF7" s="149"/>
      <c r="AG7" s="149"/>
    </row>
    <row r="8" spans="1:33" s="1" customFormat="1" ht="56.25" customHeight="1">
      <c r="B8" s="155"/>
      <c r="C8" s="150"/>
      <c r="D8" s="155"/>
      <c r="E8" s="152"/>
      <c r="F8" s="152"/>
      <c r="G8" s="150"/>
      <c r="H8" s="9" t="s">
        <v>167</v>
      </c>
      <c r="I8" s="9" t="s">
        <v>168</v>
      </c>
      <c r="J8" s="9" t="s">
        <v>169</v>
      </c>
      <c r="K8" s="152"/>
      <c r="L8" s="152"/>
      <c r="M8" s="150"/>
      <c r="N8" s="9" t="s">
        <v>167</v>
      </c>
      <c r="O8" s="9" t="s">
        <v>168</v>
      </c>
      <c r="P8" s="9" t="s">
        <v>169</v>
      </c>
      <c r="Q8" s="155"/>
      <c r="R8" s="155"/>
      <c r="S8" s="152"/>
      <c r="T8" s="152"/>
      <c r="U8" s="152"/>
      <c r="V8" s="151"/>
      <c r="W8" s="151"/>
      <c r="X8" s="151"/>
      <c r="Y8" s="150"/>
      <c r="Z8" s="150"/>
      <c r="AA8" s="150"/>
      <c r="AB8" s="150"/>
      <c r="AC8" s="150"/>
      <c r="AD8" s="150"/>
      <c r="AE8" s="150"/>
      <c r="AF8" s="150"/>
      <c r="AG8" s="150"/>
    </row>
    <row r="9" spans="1:33" s="3" customFormat="1" ht="35.25" customHeight="1">
      <c r="A9" s="3" t="s">
        <v>170</v>
      </c>
      <c r="B9" s="11" t="s">
        <v>81</v>
      </c>
      <c r="C9" s="10">
        <f t="shared" ref="C9" si="0">D9+Z9+AE9</f>
        <v>12077809.8378</v>
      </c>
      <c r="D9" s="10">
        <f>+E9+K9+Q9+R9+Y9+S9</f>
        <v>10227103.8848</v>
      </c>
      <c r="E9" s="10">
        <f t="shared" ref="E9" si="1">+F9+G9+H9+I9+J9</f>
        <v>3951764.2</v>
      </c>
      <c r="F9" s="10">
        <f>+'人员工资数据表 '!D8*13</f>
        <v>1501825</v>
      </c>
      <c r="G9" s="10">
        <f>+('人员工资数据表 '!AJ8+'人员工资数据表 '!AZ8)*12</f>
        <v>1928364</v>
      </c>
      <c r="H9" s="10">
        <f>+'人员工资数据表 '!AR8*12</f>
        <v>342864</v>
      </c>
      <c r="I9" s="10">
        <f>+'人员工资数据表 '!BW8*12*0.6</f>
        <v>178711.19999999998</v>
      </c>
      <c r="J9" s="10">
        <f>+'人员工资数据表 '!BO8*12*0.8</f>
        <v>0</v>
      </c>
      <c r="K9" s="10">
        <f t="shared" ref="K9" si="2">+L9+M9+N9+O9+P9</f>
        <v>2341079.2000000002</v>
      </c>
      <c r="L9" s="10">
        <f>+'人员工资数据表 '!E8*12</f>
        <v>760560</v>
      </c>
      <c r="M9" s="10">
        <f>+('人员工资数据表 '!AK8+'人员工资数据表 '!BA8)*12+1000*('人员工资数据表 '!AI8+'人员工资数据表 '!AY8)</f>
        <v>1228916</v>
      </c>
      <c r="N9" s="10">
        <f>+'人员工资数据表 '!AS8*12+1000*'人员工资数据表 '!AQ8</f>
        <v>230180</v>
      </c>
      <c r="O9" s="10">
        <f>+'人员工资数据表 '!BX8*12*0.6+1000*'人员工资数据表 '!BV8*0.6</f>
        <v>121423.2</v>
      </c>
      <c r="P9" s="10">
        <f>+'人员工资数据表 '!BP8*12*0.8+1000*'人员工资数据表 '!BN8*0.8</f>
        <v>0</v>
      </c>
      <c r="Q9" s="10">
        <f>基础数据计算表!G8</f>
        <v>0</v>
      </c>
      <c r="R9" s="10">
        <f>基础数据计算表!I8</f>
        <v>1308000</v>
      </c>
      <c r="S9" s="10">
        <f t="shared" ref="S9" si="3">+T9+U9+V9+W9+X9</f>
        <v>1630878.3167999999</v>
      </c>
      <c r="T9" s="10">
        <f>+基础数据计算表!P8</f>
        <v>995956.22399999993</v>
      </c>
      <c r="U9" s="64">
        <f>+基础数据计算表!Q8</f>
        <v>497978.11199999996</v>
      </c>
      <c r="V9" s="64">
        <f>+基础数据计算表!R8</f>
        <v>43573.084800000004</v>
      </c>
      <c r="W9" s="64">
        <f>+基础数据计算表!T8</f>
        <v>62247.263999999996</v>
      </c>
      <c r="X9" s="64">
        <f>+基础数据计算表!S8</f>
        <v>31123.631999999998</v>
      </c>
      <c r="Y9" s="64">
        <f>+基础数据计算表!U8</f>
        <v>995382.16799999995</v>
      </c>
      <c r="Z9" s="10">
        <f t="shared" ref="Z9" si="4">AA9+AD9+AB9+AC9</f>
        <v>1740185.953</v>
      </c>
      <c r="AA9" s="10">
        <f>+基础数据计算表!C8</f>
        <v>763000</v>
      </c>
      <c r="AB9" s="10">
        <f>基础数据计算表!H8</f>
        <v>694008</v>
      </c>
      <c r="AC9" s="10">
        <f>+基础数据计算表!K8</f>
        <v>125856.868</v>
      </c>
      <c r="AD9" s="64">
        <f>+基础数据计算表!J8</f>
        <v>157321.08499999999</v>
      </c>
      <c r="AE9" s="64">
        <f t="shared" ref="AE9" si="5">AF9+AG9</f>
        <v>110520</v>
      </c>
      <c r="AF9" s="64">
        <f>+基础数据计算表!V8</f>
        <v>36000</v>
      </c>
      <c r="AG9" s="10">
        <f>+基础数据计算表!W8</f>
        <v>74520</v>
      </c>
    </row>
    <row r="10" spans="1:33" s="3" customFormat="1" ht="35.25" customHeight="1">
      <c r="B10" s="12" t="s">
        <v>171</v>
      </c>
      <c r="C10" s="13">
        <f t="shared" ref="C10:AG10" si="6">SUM(C9:C9)</f>
        <v>12077809.8378</v>
      </c>
      <c r="D10" s="13">
        <f t="shared" si="6"/>
        <v>10227103.8848</v>
      </c>
      <c r="E10" s="13">
        <f t="shared" si="6"/>
        <v>3951764.2</v>
      </c>
      <c r="F10" s="13">
        <f t="shared" si="6"/>
        <v>1501825</v>
      </c>
      <c r="G10" s="13">
        <f t="shared" si="6"/>
        <v>1928364</v>
      </c>
      <c r="H10" s="13">
        <f t="shared" si="6"/>
        <v>342864</v>
      </c>
      <c r="I10" s="13">
        <f t="shared" si="6"/>
        <v>178711.19999999998</v>
      </c>
      <c r="J10" s="13">
        <f t="shared" si="6"/>
        <v>0</v>
      </c>
      <c r="K10" s="13">
        <f t="shared" si="6"/>
        <v>2341079.2000000002</v>
      </c>
      <c r="L10" s="13">
        <f t="shared" si="6"/>
        <v>760560</v>
      </c>
      <c r="M10" s="13">
        <f t="shared" si="6"/>
        <v>1228916</v>
      </c>
      <c r="N10" s="13">
        <f t="shared" si="6"/>
        <v>230180</v>
      </c>
      <c r="O10" s="13">
        <f t="shared" si="6"/>
        <v>121423.2</v>
      </c>
      <c r="P10" s="13">
        <f t="shared" si="6"/>
        <v>0</v>
      </c>
      <c r="Q10" s="13">
        <f t="shared" si="6"/>
        <v>0</v>
      </c>
      <c r="R10" s="13">
        <f t="shared" si="6"/>
        <v>1308000</v>
      </c>
      <c r="S10" s="13">
        <f t="shared" si="6"/>
        <v>1630878.3167999999</v>
      </c>
      <c r="T10" s="13">
        <f t="shared" si="6"/>
        <v>995956.22399999993</v>
      </c>
      <c r="U10" s="65">
        <f t="shared" si="6"/>
        <v>497978.11199999996</v>
      </c>
      <c r="V10" s="65">
        <f t="shared" si="6"/>
        <v>43573.084800000004</v>
      </c>
      <c r="W10" s="65">
        <f t="shared" si="6"/>
        <v>62247.263999999996</v>
      </c>
      <c r="X10" s="65">
        <f t="shared" si="6"/>
        <v>31123.631999999998</v>
      </c>
      <c r="Y10" s="65">
        <f t="shared" si="6"/>
        <v>995382.16799999995</v>
      </c>
      <c r="Z10" s="13">
        <f t="shared" si="6"/>
        <v>1740185.953</v>
      </c>
      <c r="AA10" s="13">
        <f t="shared" si="6"/>
        <v>763000</v>
      </c>
      <c r="AB10" s="13">
        <f t="shared" si="6"/>
        <v>694008</v>
      </c>
      <c r="AC10" s="13">
        <f t="shared" si="6"/>
        <v>125856.868</v>
      </c>
      <c r="AD10" s="65">
        <f t="shared" si="6"/>
        <v>157321.08499999999</v>
      </c>
      <c r="AE10" s="65">
        <f t="shared" si="6"/>
        <v>110520</v>
      </c>
      <c r="AF10" s="65">
        <f t="shared" si="6"/>
        <v>36000</v>
      </c>
      <c r="AG10" s="13">
        <f t="shared" si="6"/>
        <v>74520</v>
      </c>
    </row>
  </sheetData>
  <mergeCells count="36">
    <mergeCell ref="B2:AG2"/>
    <mergeCell ref="C4:AG4"/>
    <mergeCell ref="D5:Y5"/>
    <mergeCell ref="Z5:AD5"/>
    <mergeCell ref="AE5:AG5"/>
    <mergeCell ref="B4:B8"/>
    <mergeCell ref="C5:C8"/>
    <mergeCell ref="D6:D8"/>
    <mergeCell ref="E7:E8"/>
    <mergeCell ref="F7:F8"/>
    <mergeCell ref="G7:G8"/>
    <mergeCell ref="K7:K8"/>
    <mergeCell ref="L7:L8"/>
    <mergeCell ref="E6:J6"/>
    <mergeCell ref="K6:P6"/>
    <mergeCell ref="M7:M8"/>
    <mergeCell ref="R6:R8"/>
    <mergeCell ref="S7:S8"/>
    <mergeCell ref="Q6:Q8"/>
    <mergeCell ref="H7:J7"/>
    <mergeCell ref="N7:P7"/>
    <mergeCell ref="T7:T8"/>
    <mergeCell ref="AD6:AD8"/>
    <mergeCell ref="AE6:AE8"/>
    <mergeCell ref="U7:U8"/>
    <mergeCell ref="S6:X6"/>
    <mergeCell ref="AF6:AF8"/>
    <mergeCell ref="AG6:AG8"/>
    <mergeCell ref="V7:V8"/>
    <mergeCell ref="W7:W8"/>
    <mergeCell ref="X7:X8"/>
    <mergeCell ref="Y6:Y8"/>
    <mergeCell ref="Z6:Z8"/>
    <mergeCell ref="AA6:AA8"/>
    <mergeCell ref="AB6:AB8"/>
    <mergeCell ref="AC6:AC8"/>
  </mergeCells>
  <phoneticPr fontId="24" type="noConversion"/>
  <printOptions horizontalCentered="1"/>
  <pageMargins left="0.21" right="0" top="0.98425196850393715" bottom="0.74803149606299213" header="0.51181102362204722" footer="0.51181102362204722"/>
  <pageSetup paperSize="8" scale="5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人员工资数据表 </vt:lpstr>
      <vt:lpstr>村、居委会、社区、人口数据表</vt:lpstr>
      <vt:lpstr>人员基本数据表</vt:lpstr>
      <vt:lpstr>基础数据计算表</vt:lpstr>
      <vt:lpstr>体制经费测算</vt:lpstr>
      <vt:lpstr>村、居委会、社区、人口数据表!Print_Area</vt:lpstr>
      <vt:lpstr>体制经费测算!Print_Area</vt:lpstr>
    </vt:vector>
  </TitlesOfParts>
  <Company>czj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wjx</dc:creator>
  <cp:lastModifiedBy>Windows 用户</cp:lastModifiedBy>
  <cp:lastPrinted>2020-12-09T08:52:27Z</cp:lastPrinted>
  <dcterms:created xsi:type="dcterms:W3CDTF">2013-09-24T08:36:34Z</dcterms:created>
  <dcterms:modified xsi:type="dcterms:W3CDTF">2020-12-09T08:53:36Z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